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'Part-III.'!$A$1:$BJ$20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Feb' 11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Feb' 11</t>
        </r>
      </text>
    </commen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Feb' 11</t>
        </r>
      </text>
    </comment>
  </commentList>
</comments>
</file>

<file path=xl/sharedStrings.xml><?xml version="1.0" encoding="utf-8"?>
<sst xmlns="http://schemas.openxmlformats.org/spreadsheetml/2006/main" count="410" uniqueCount="148">
  <si>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</si>
  <si>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</si>
  <si>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</si>
  <si>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</si>
  <si>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</si>
  <si>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</si>
  <si>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</si>
  <si>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</si>
  <si>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</si>
  <si>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</si>
  <si>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</si>
  <si>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</si>
  <si>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</si>
  <si>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</si>
  <si>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</si>
  <si>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</si>
  <si>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</si>
  <si>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</si>
  <si>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</si>
  <si>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</si>
  <si>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</si>
  <si>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</si>
  <si>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</si>
  <si>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</si>
  <si>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</si>
  <si>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</si>
  <si>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</si>
  <si>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</si>
  <si>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</si>
  <si>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</si>
  <si>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</si>
  <si>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</si>
  <si>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</si>
  <si>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</si>
  <si>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</si>
  <si>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</si>
  <si>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</si>
  <si>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</si>
  <si>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</si>
  <si>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</si>
  <si>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</si>
  <si>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</si>
  <si>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</si>
  <si>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</si>
  <si>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</si>
  <si>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</si>
  <si>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</si>
  <si>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</si>
  <si>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</si>
  <si>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</si>
  <si>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</si>
  <si>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</si>
  <si>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</si>
  <si>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</si>
  <si>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</si>
  <si>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</si>
  <si>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</si>
  <si>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</si>
  <si>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</si>
  <si>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</si>
  <si>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</si>
  <si>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</si>
  <si>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</si>
  <si>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</si>
  <si>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</si>
  <si>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</si>
  <si>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</si>
  <si>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</si>
  <si>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</si>
  <si>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</si>
  <si>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</si>
  <si>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</si>
  <si>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</si>
  <si>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</si>
  <si>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</si>
  <si>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</si>
  <si>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</si>
  <si>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</si>
  <si>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</si>
  <si>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</si>
  <si>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</si>
  <si>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</si>
  <si>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</si>
  <si>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</si>
  <si>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</si>
  <si>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</si>
  <si>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</si>
  <si>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</si>
  <si>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</si>
  <si>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</si>
  <si>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</si>
  <si>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</si>
  <si>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</si>
  <si>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</si>
  <si>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</si>
  <si>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</si>
  <si>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</si>
  <si>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</si>
  <si>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</si>
  <si>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</si>
  <si>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</si>
  <si>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</si>
  <si>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</si>
  <si>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</si>
  <si>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</si>
  <si>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</si>
  <si>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</si>
  <si>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</si>
  <si>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</si>
  <si>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</si>
  <si>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</si>
  <si>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</si>
  <si>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</si>
  <si>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</si>
  <si>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</si>
  <si>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</si>
  <si>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</si>
  <si>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</si>
  <si>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</si>
  <si>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</si>
  <si>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</si>
  <si>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</si>
  <si>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</si>
  <si>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</si>
  <si>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</si>
  <si>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</si>
  <si>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</si>
  <si>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</si>
  <si>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</si>
  <si>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</si>
  <si>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</si>
  <si>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</si>
  <si>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</si>
  <si>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</si>
  <si>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</si>
  <si>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</si>
  <si>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</si>
  <si>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</si>
  <si>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</si>
  <si>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Minority</t>
  </si>
  <si>
    <t>exp. 4 d month</t>
  </si>
  <si>
    <t>Employment Generation Report for the month of March' 2011</t>
  </si>
  <si>
    <t>Financial Performance Under NREGA During the year 2010-11 Up to the Month of March' 2011</t>
  </si>
  <si>
    <t>Physical Performance Under NREGA During the year 2010-11 Up to the Month of March' 2011</t>
  </si>
  <si>
    <t>Transparency Report Under NREGA During the year 2010-11 Up to the Month of March' 2011</t>
  </si>
  <si>
    <t>FORMAT FOR MONTHLY PROGRESS REPORT - V-A (Capacity Building - Personnel Report for the Month of March' 2011)</t>
  </si>
  <si>
    <t>FORMAT FOR MONTHLY PROGRESS REPORT - V-B (Capacity Building - Training Report for the Month of March' 2011)</t>
  </si>
  <si>
    <t xml:space="preserve">* A sum of Rs. 83.23 lacs has been received from the Jalpaiguri Zilla Parishad as SGRY fund.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</si>
</sst>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  <numFmt numFmtId="178" formatCode="0.0000000000000"/>
    <numFmt numFmtId="179" formatCode="0.0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30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0"/>
    </font>
    <font>
      <sz val="12"/>
      <name val="Calibri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G Omega"/>
      <family val="2"/>
    </font>
    <font>
      <sz val="10"/>
      <color indexed="9"/>
      <name val="CG Omega"/>
      <family val="2"/>
    </font>
    <font>
      <sz val="12"/>
      <color indexed="9"/>
      <name val="CG Omega"/>
      <family val="2"/>
    </font>
    <font>
      <b/>
      <i/>
      <sz val="14"/>
      <color indexed="9"/>
      <name val="Bookman Old Style"/>
      <family val="1"/>
    </font>
    <font>
      <b/>
      <sz val="14"/>
      <color indexed="9"/>
      <name val="Bookman Old Style"/>
      <family val="1"/>
    </font>
    <font>
      <sz val="14"/>
      <color indexed="9"/>
      <name val="CG Omega"/>
      <family val="2"/>
    </font>
    <font>
      <b/>
      <sz val="10"/>
      <color indexed="9"/>
      <name val="CG Omega"/>
      <family val="2"/>
    </font>
    <font>
      <i/>
      <sz val="14"/>
      <color indexed="10"/>
      <name val="CG Omega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9" borderId="0" applyNumberFormat="0" applyBorder="0" applyAlignment="0" applyProtection="0"/>
    <xf numFmtId="0" fontId="107" fillId="3" borderId="0" applyNumberFormat="0" applyBorder="0" applyAlignment="0" applyProtection="0"/>
    <xf numFmtId="0" fontId="108" fillId="20" borderId="1" applyNumberFormat="0" applyAlignment="0" applyProtection="0"/>
    <xf numFmtId="0" fontId="10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1" fillId="4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5" fillId="7" borderId="1" applyNumberFormat="0" applyAlignment="0" applyProtection="0"/>
    <xf numFmtId="0" fontId="116" fillId="0" borderId="6" applyNumberFormat="0" applyFill="0" applyAlignment="0" applyProtection="0"/>
    <xf numFmtId="0" fontId="1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2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2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2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2" fontId="13" fillId="0" borderId="0" xfId="57" applyNumberFormat="1" applyFont="1">
      <alignment/>
      <protection/>
    </xf>
    <xf numFmtId="172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28" fillId="0" borderId="10" xfId="57" applyNumberFormat="1" applyFont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57" applyFont="1" applyAlignment="1">
      <alignment horizontal="right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2" applyFont="1" applyAlignment="1">
      <alignment/>
      <protection/>
    </xf>
    <xf numFmtId="0" fontId="12" fillId="0" borderId="0" xfId="62" applyFont="1">
      <alignment/>
      <protection/>
    </xf>
    <xf numFmtId="0" fontId="61" fillId="0" borderId="0" xfId="62" applyFont="1">
      <alignment/>
      <protection/>
    </xf>
    <xf numFmtId="0" fontId="12" fillId="0" borderId="0" xfId="62" applyFont="1" applyAlignment="1">
      <alignment/>
      <protection/>
    </xf>
    <xf numFmtId="0" fontId="62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63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64" fillId="0" borderId="0" xfId="62" applyFont="1">
      <alignment/>
      <protection/>
    </xf>
    <xf numFmtId="0" fontId="65" fillId="0" borderId="0" xfId="62" applyFont="1">
      <alignment/>
      <protection/>
    </xf>
    <xf numFmtId="0" fontId="20" fillId="0" borderId="0" xfId="62" applyFont="1" applyAlignment="1">
      <alignment horizontal="center" vertical="center" wrapText="1"/>
      <protection/>
    </xf>
    <xf numFmtId="0" fontId="26" fillId="0" borderId="0" xfId="62" applyFont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12" fillId="0" borderId="10" xfId="62" applyFont="1" applyFill="1" applyBorder="1" applyAlignment="1">
      <alignment horizontal="center" vertical="center" textRotation="90"/>
      <protection/>
    </xf>
    <xf numFmtId="0" fontId="12" fillId="0" borderId="10" xfId="62" applyFont="1" applyFill="1" applyBorder="1" applyAlignment="1">
      <alignment horizontal="center" vertical="center" textRotation="90" wrapText="1"/>
      <protection/>
    </xf>
    <xf numFmtId="1" fontId="12" fillId="0" borderId="10" xfId="62" applyNumberFormat="1" applyFont="1" applyBorder="1" applyAlignment="1">
      <alignment horizontal="center" vertical="center" textRotation="90"/>
      <protection/>
    </xf>
    <xf numFmtId="2" fontId="12" fillId="0" borderId="10" xfId="62" applyNumberFormat="1" applyFont="1" applyBorder="1" applyAlignment="1">
      <alignment horizontal="center" vertical="center" textRotation="90"/>
      <protection/>
    </xf>
    <xf numFmtId="1" fontId="12" fillId="0" borderId="10" xfId="62" applyNumberFormat="1" applyFont="1" applyBorder="1" applyAlignment="1">
      <alignment vertical="center" textRotation="90"/>
      <protection/>
    </xf>
    <xf numFmtId="2" fontId="12" fillId="0" borderId="10" xfId="62" applyNumberFormat="1" applyFont="1" applyBorder="1" applyAlignment="1">
      <alignment vertical="center" textRotation="90"/>
      <protection/>
    </xf>
    <xf numFmtId="0" fontId="12" fillId="0" borderId="0" xfId="62" applyFont="1" applyAlignment="1">
      <alignment horizontal="center" vertical="center" textRotation="90"/>
      <protection/>
    </xf>
    <xf numFmtId="2" fontId="12" fillId="0" borderId="0" xfId="62" applyNumberFormat="1" applyFont="1" applyBorder="1" applyAlignment="1">
      <alignment horizontal="center" vertical="center" textRotation="90"/>
      <protection/>
    </xf>
    <xf numFmtId="0" fontId="6" fillId="0" borderId="0" xfId="62" applyFont="1">
      <alignment/>
      <protection/>
    </xf>
    <xf numFmtId="1" fontId="8" fillId="0" borderId="0" xfId="62" applyNumberFormat="1" applyFont="1">
      <alignment/>
      <protection/>
    </xf>
    <xf numFmtId="1" fontId="6" fillId="0" borderId="0" xfId="62" applyNumberFormat="1" applyFont="1">
      <alignment/>
      <protection/>
    </xf>
    <xf numFmtId="0" fontId="4" fillId="0" borderId="0" xfId="61">
      <alignment/>
      <protection/>
    </xf>
    <xf numFmtId="0" fontId="69" fillId="0" borderId="0" xfId="61" applyFont="1" applyAlignment="1">
      <alignment horizontal="right" vertical="center"/>
      <protection/>
    </xf>
    <xf numFmtId="0" fontId="35" fillId="0" borderId="0" xfId="61" applyFont="1">
      <alignment/>
      <protection/>
    </xf>
    <xf numFmtId="0" fontId="24" fillId="0" borderId="0" xfId="60" applyFont="1">
      <alignment/>
      <protection/>
    </xf>
    <xf numFmtId="0" fontId="36" fillId="0" borderId="0" xfId="61" applyFont="1" applyAlignment="1">
      <alignment vertical="center"/>
      <protection/>
    </xf>
    <xf numFmtId="0" fontId="36" fillId="0" borderId="0" xfId="61" applyFont="1" applyAlignment="1">
      <alignment horizontal="right" vertical="center"/>
      <protection/>
    </xf>
    <xf numFmtId="0" fontId="70" fillId="0" borderId="0" xfId="0" applyFont="1" applyAlignment="1">
      <alignment horizontal="right"/>
    </xf>
    <xf numFmtId="0" fontId="36" fillId="0" borderId="0" xfId="61" applyFont="1" applyAlignment="1">
      <alignment horizontal="left" vertical="center"/>
      <protection/>
    </xf>
    <xf numFmtId="0" fontId="41" fillId="0" borderId="0" xfId="61" applyFont="1">
      <alignment/>
      <protection/>
    </xf>
    <xf numFmtId="0" fontId="42" fillId="7" borderId="10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24" borderId="10" xfId="61" applyFont="1" applyFill="1" applyBorder="1" applyAlignment="1">
      <alignment horizontal="center" vertical="center" wrapText="1"/>
      <protection/>
    </xf>
    <xf numFmtId="0" fontId="40" fillId="0" borderId="0" xfId="61" applyFont="1">
      <alignment/>
      <protection/>
    </xf>
    <xf numFmtId="0" fontId="43" fillId="0" borderId="10" xfId="61" applyFont="1" applyBorder="1" applyAlignment="1">
      <alignment horizontal="center" vertical="center"/>
      <protection/>
    </xf>
    <xf numFmtId="0" fontId="43" fillId="7" borderId="10" xfId="61" applyFont="1" applyFill="1" applyBorder="1" applyAlignment="1">
      <alignment horizontal="center" vertical="center"/>
      <protection/>
    </xf>
    <xf numFmtId="0" fontId="43" fillId="24" borderId="10" xfId="61" applyFont="1" applyFill="1" applyBorder="1" applyAlignment="1">
      <alignment horizontal="center" vertical="center"/>
      <protection/>
    </xf>
    <xf numFmtId="0" fontId="44" fillId="0" borderId="0" xfId="61" applyFont="1">
      <alignment/>
      <protection/>
    </xf>
    <xf numFmtId="0" fontId="38" fillId="0" borderId="10" xfId="61" applyFont="1" applyBorder="1" applyAlignment="1">
      <alignment vertical="center"/>
      <protection/>
    </xf>
    <xf numFmtId="0" fontId="71" fillId="0" borderId="10" xfId="61" applyFont="1" applyBorder="1" applyAlignment="1">
      <alignment horizontal="center" vertical="center"/>
      <protection/>
    </xf>
    <xf numFmtId="0" fontId="72" fillId="7" borderId="10" xfId="61" applyFont="1" applyFill="1" applyBorder="1" applyAlignment="1">
      <alignment horizontal="center" vertical="center"/>
      <protection/>
    </xf>
    <xf numFmtId="0" fontId="72" fillId="25" borderId="10" xfId="61" applyFont="1" applyFill="1" applyBorder="1" applyAlignment="1">
      <alignment horizontal="center" vertical="center"/>
      <protection/>
    </xf>
    <xf numFmtId="0" fontId="72" fillId="0" borderId="10" xfId="61" applyFont="1" applyFill="1" applyBorder="1" applyAlignment="1">
      <alignment horizontal="center" vertical="center"/>
      <protection/>
    </xf>
    <xf numFmtId="0" fontId="72" fillId="24" borderId="10" xfId="61" applyFont="1" applyFill="1" applyBorder="1" applyAlignment="1">
      <alignment horizontal="center" vertical="center"/>
      <protection/>
    </xf>
    <xf numFmtId="0" fontId="25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1" applyAlignment="1">
      <alignment horizontal="center"/>
      <protection/>
    </xf>
    <xf numFmtId="0" fontId="37" fillId="0" borderId="0" xfId="61" applyFont="1">
      <alignment/>
      <protection/>
    </xf>
    <xf numFmtId="0" fontId="37" fillId="0" borderId="0" xfId="61" applyFont="1" applyAlignment="1">
      <alignment wrapText="1"/>
      <protection/>
    </xf>
    <xf numFmtId="0" fontId="25" fillId="0" borderId="0" xfId="61" applyFont="1" applyAlignment="1">
      <alignment horizontal="center" vertical="center" wrapText="1"/>
      <protection/>
    </xf>
    <xf numFmtId="0" fontId="28" fillId="0" borderId="0" xfId="61" applyFont="1" applyAlignment="1">
      <alignment vertical="center" wrapText="1"/>
      <protection/>
    </xf>
    <xf numFmtId="0" fontId="54" fillId="0" borderId="0" xfId="61" applyFont="1" applyAlignment="1">
      <alignment horizontal="right" vertical="center"/>
      <protection/>
    </xf>
    <xf numFmtId="0" fontId="35" fillId="0" borderId="0" xfId="61" applyFont="1" applyAlignment="1">
      <alignment wrapText="1"/>
      <protection/>
    </xf>
    <xf numFmtId="0" fontId="4" fillId="0" borderId="0" xfId="61" applyAlignment="1">
      <alignment wrapText="1"/>
      <protection/>
    </xf>
    <xf numFmtId="0" fontId="29" fillId="0" borderId="0" xfId="61" applyFont="1" applyAlignment="1">
      <alignment vertical="center"/>
      <protection/>
    </xf>
    <xf numFmtId="0" fontId="29" fillId="0" borderId="0" xfId="61" applyFont="1" applyAlignment="1">
      <alignment vertical="center" wrapText="1"/>
      <protection/>
    </xf>
    <xf numFmtId="0" fontId="29" fillId="0" borderId="0" xfId="61" applyFont="1" applyAlignment="1">
      <alignment horizontal="right" vertical="center" wrapText="1"/>
      <protection/>
    </xf>
    <xf numFmtId="0" fontId="29" fillId="0" borderId="0" xfId="61" applyFont="1" applyAlignment="1">
      <alignment horizontal="left" vertical="center"/>
      <protection/>
    </xf>
    <xf numFmtId="0" fontId="42" fillId="4" borderId="10" xfId="61" applyFont="1" applyFill="1" applyBorder="1" applyAlignment="1">
      <alignment horizontal="center" vertical="center" wrapText="1"/>
      <protection/>
    </xf>
    <xf numFmtId="0" fontId="42" fillId="25" borderId="10" xfId="61" applyFont="1" applyFill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0" xfId="61" applyFont="1">
      <alignment/>
      <protection/>
    </xf>
    <xf numFmtId="0" fontId="73" fillId="0" borderId="10" xfId="61" applyFont="1" applyBorder="1" applyAlignment="1">
      <alignment horizontal="center" vertical="center" wrapText="1"/>
      <protection/>
    </xf>
    <xf numFmtId="0" fontId="74" fillId="4" borderId="10" xfId="61" applyFont="1" applyFill="1" applyBorder="1" applyAlignment="1">
      <alignment horizontal="center" vertical="center" textRotation="90" wrapText="1"/>
      <protection/>
    </xf>
    <xf numFmtId="0" fontId="74" fillId="0" borderId="10" xfId="61" applyFont="1" applyBorder="1" applyAlignment="1">
      <alignment horizontal="center" vertical="center" textRotation="90" wrapText="1"/>
      <protection/>
    </xf>
    <xf numFmtId="0" fontId="74" fillId="24" borderId="10" xfId="61" applyFont="1" applyFill="1" applyBorder="1" applyAlignment="1">
      <alignment horizontal="center" vertical="center" textRotation="90" wrapText="1"/>
      <protection/>
    </xf>
    <xf numFmtId="0" fontId="74" fillId="0" borderId="0" xfId="61" applyFont="1" applyAlignment="1">
      <alignment horizontal="center" vertical="center" wrapText="1"/>
      <protection/>
    </xf>
    <xf numFmtId="0" fontId="37" fillId="0" borderId="12" xfId="61" applyFont="1" applyBorder="1" applyAlignment="1">
      <alignment vertical="center" wrapText="1"/>
      <protection/>
    </xf>
    <xf numFmtId="0" fontId="37" fillId="0" borderId="0" xfId="61" applyFont="1" applyBorder="1" applyAlignment="1">
      <alignment vertical="center" wrapText="1"/>
      <protection/>
    </xf>
    <xf numFmtId="0" fontId="37" fillId="0" borderId="0" xfId="61" applyFont="1" applyAlignment="1">
      <alignment vertical="center" wrapText="1"/>
      <protection/>
    </xf>
    <xf numFmtId="0" fontId="37" fillId="0" borderId="0" xfId="61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72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2" fontId="15" fillId="0" borderId="10" xfId="57" applyNumberFormat="1" applyFont="1" applyBorder="1" applyAlignment="1">
      <alignment horizontal="right" wrapText="1"/>
      <protection/>
    </xf>
    <xf numFmtId="172" fontId="76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2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2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6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80" fillId="0" borderId="10" xfId="57" applyFont="1" applyFill="1" applyBorder="1" applyAlignment="1">
      <alignment horizontal="center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173" fontId="78" fillId="0" borderId="10" xfId="0" applyNumberFormat="1" applyFont="1" applyFill="1" applyBorder="1" applyAlignment="1">
      <alignment vertical="center" wrapText="1"/>
    </xf>
    <xf numFmtId="1" fontId="78" fillId="0" borderId="10" xfId="0" applyNumberFormat="1" applyFont="1" applyFill="1" applyBorder="1" applyAlignment="1">
      <alignment vertical="center" wrapText="1"/>
    </xf>
    <xf numFmtId="1" fontId="55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2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1" fontId="0" fillId="0" borderId="0" xfId="0" applyNumberFormat="1" applyFont="1" applyAlignment="1">
      <alignment/>
    </xf>
    <xf numFmtId="176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5" fontId="14" fillId="0" borderId="0" xfId="57" applyNumberFormat="1" applyFont="1">
      <alignment/>
      <protection/>
    </xf>
    <xf numFmtId="9" fontId="14" fillId="0" borderId="0" xfId="66" applyFont="1" applyAlignment="1">
      <alignment/>
    </xf>
    <xf numFmtId="175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6" applyNumberFormat="1" applyFont="1" applyAlignment="1">
      <alignment/>
    </xf>
    <xf numFmtId="2" fontId="6" fillId="0" borderId="0" xfId="62" applyNumberFormat="1" applyFont="1">
      <alignment/>
      <protection/>
    </xf>
    <xf numFmtId="173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10" fontId="60" fillId="0" borderId="10" xfId="66" applyNumberFormat="1" applyFont="1" applyFill="1" applyBorder="1" applyAlignment="1">
      <alignment vertical="center" wrapText="1"/>
    </xf>
    <xf numFmtId="1" fontId="57" fillId="0" borderId="0" xfId="0" applyNumberFormat="1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vertical="center" wrapText="1"/>
    </xf>
    <xf numFmtId="1" fontId="88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88" fillId="0" borderId="10" xfId="0" applyFont="1" applyFill="1" applyBorder="1" applyAlignment="1">
      <alignment horizontal="right" vertical="center"/>
    </xf>
    <xf numFmtId="0" fontId="79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2" fontId="13" fillId="7" borderId="0" xfId="57" applyNumberFormat="1" applyFont="1" applyFill="1" applyBorder="1" applyAlignment="1">
      <alignment horizontal="right" wrapText="1"/>
      <protection/>
    </xf>
    <xf numFmtId="172" fontId="76" fillId="0" borderId="0" xfId="57" applyNumberFormat="1" applyFont="1" applyBorder="1" applyAlignment="1">
      <alignment horizontal="right" wrapText="1"/>
      <protection/>
    </xf>
    <xf numFmtId="172" fontId="13" fillId="22" borderId="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Border="1" applyAlignment="1">
      <alignment horizontal="right" wrapText="1"/>
      <protection/>
    </xf>
    <xf numFmtId="10" fontId="14" fillId="0" borderId="0" xfId="66" applyNumberFormat="1" applyFont="1" applyAlignment="1">
      <alignment/>
    </xf>
    <xf numFmtId="1" fontId="89" fillId="0" borderId="0" xfId="0" applyNumberFormat="1" applyFont="1" applyAlignment="1">
      <alignment wrapText="1"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1" fontId="89" fillId="0" borderId="0" xfId="0" applyNumberFormat="1" applyFont="1" applyAlignment="1">
      <alignment horizontal="right" wrapText="1"/>
    </xf>
    <xf numFmtId="10" fontId="90" fillId="0" borderId="10" xfId="66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2" fontId="89" fillId="0" borderId="0" xfId="0" applyNumberFormat="1" applyFont="1" applyAlignment="1">
      <alignment wrapText="1"/>
    </xf>
    <xf numFmtId="10" fontId="1" fillId="0" borderId="0" xfId="66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9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vertical="center" wrapText="1"/>
    </xf>
    <xf numFmtId="9" fontId="93" fillId="0" borderId="10" xfId="66" applyFont="1" applyFill="1" applyBorder="1" applyAlignment="1">
      <alignment vertical="center" wrapText="1"/>
    </xf>
    <xf numFmtId="10" fontId="95" fillId="0" borderId="10" xfId="66" applyNumberFormat="1" applyFont="1" applyFill="1" applyBorder="1" applyAlignment="1">
      <alignment vertical="center" wrapText="1"/>
    </xf>
    <xf numFmtId="2" fontId="94" fillId="11" borderId="10" xfId="0" applyNumberFormat="1" applyFont="1" applyFill="1" applyBorder="1" applyAlignment="1">
      <alignment vertical="center" wrapText="1"/>
    </xf>
    <xf numFmtId="0" fontId="77" fillId="26" borderId="10" xfId="0" applyFont="1" applyFill="1" applyBorder="1" applyAlignment="1">
      <alignment vertical="center" wrapText="1"/>
    </xf>
    <xf numFmtId="1" fontId="88" fillId="26" borderId="10" xfId="0" applyNumberFormat="1" applyFont="1" applyFill="1" applyBorder="1" applyAlignment="1">
      <alignment vertical="center" wrapText="1"/>
    </xf>
    <xf numFmtId="0" fontId="80" fillId="26" borderId="10" xfId="57" applyFont="1" applyFill="1" applyBorder="1" applyAlignment="1">
      <alignment horizontal="center" vertical="center" wrapText="1"/>
      <protection/>
    </xf>
    <xf numFmtId="10" fontId="60" fillId="0" borderId="0" xfId="66" applyNumberFormat="1" applyFont="1" applyFill="1" applyAlignment="1">
      <alignment vertical="center" wrapText="1"/>
    </xf>
    <xf numFmtId="173" fontId="60" fillId="0" borderId="0" xfId="0" applyNumberFormat="1" applyFont="1" applyFill="1" applyAlignment="1">
      <alignment vertical="center" wrapText="1"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2" applyNumberFormat="1" applyFont="1" applyAlignment="1">
      <alignment horizontal="center" vertical="center" textRotation="90"/>
      <protection/>
    </xf>
    <xf numFmtId="174" fontId="8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2" fontId="88" fillId="0" borderId="10" xfId="0" applyNumberFormat="1" applyFont="1" applyFill="1" applyBorder="1" applyAlignment="1">
      <alignment horizontal="right" vertical="center" wrapText="1"/>
    </xf>
    <xf numFmtId="172" fontId="77" fillId="0" borderId="10" xfId="0" applyNumberFormat="1" applyFont="1" applyFill="1" applyBorder="1" applyAlignment="1">
      <alignment horizontal="right" vertical="center" wrapText="1"/>
    </xf>
    <xf numFmtId="172" fontId="88" fillId="0" borderId="10" xfId="0" applyNumberFormat="1" applyFont="1" applyFill="1" applyBorder="1" applyAlignment="1">
      <alignment vertical="center" wrapText="1"/>
    </xf>
    <xf numFmtId="172" fontId="61" fillId="0" borderId="10" xfId="63" applyNumberFormat="1" applyFont="1" applyFill="1" applyBorder="1" applyAlignment="1">
      <alignment horizontal="right" vertical="center" wrapText="1"/>
      <protection/>
    </xf>
    <xf numFmtId="1" fontId="12" fillId="26" borderId="10" xfId="62" applyNumberFormat="1" applyFont="1" applyFill="1" applyBorder="1" applyAlignment="1">
      <alignment horizontal="center" vertical="center" textRotation="90"/>
      <protection/>
    </xf>
    <xf numFmtId="2" fontId="12" fillId="26" borderId="10" xfId="62" applyNumberFormat="1" applyFont="1" applyFill="1" applyBorder="1" applyAlignment="1">
      <alignment horizontal="center" vertical="center" textRotation="90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96" fillId="26" borderId="10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9" fontId="93" fillId="0" borderId="0" xfId="66" applyFont="1" applyFill="1" applyBorder="1" applyAlignment="1">
      <alignment vertical="center" wrapText="1"/>
    </xf>
    <xf numFmtId="10" fontId="95" fillId="0" borderId="0" xfId="66" applyNumberFormat="1" applyFont="1" applyFill="1" applyBorder="1" applyAlignment="1">
      <alignment vertical="center" wrapText="1"/>
    </xf>
    <xf numFmtId="10" fontId="90" fillId="0" borderId="0" xfId="66" applyNumberFormat="1" applyFont="1" applyFill="1" applyBorder="1" applyAlignment="1">
      <alignment vertical="center" wrapText="1"/>
    </xf>
    <xf numFmtId="10" fontId="60" fillId="0" borderId="0" xfId="66" applyNumberFormat="1" applyFont="1" applyFill="1" applyBorder="1" applyAlignment="1">
      <alignment vertical="center" wrapText="1"/>
    </xf>
    <xf numFmtId="10" fontId="13" fillId="0" borderId="0" xfId="66" applyNumberFormat="1" applyFont="1" applyAlignment="1">
      <alignment/>
    </xf>
    <xf numFmtId="0" fontId="78" fillId="0" borderId="15" xfId="0" applyFont="1" applyFill="1" applyBorder="1" applyAlignment="1">
      <alignment vertical="center" wrapText="1"/>
    </xf>
    <xf numFmtId="0" fontId="89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7" fillId="0" borderId="15" xfId="0" applyFont="1" applyFill="1" applyBorder="1" applyAlignment="1">
      <alignment horizontal="center" vertical="center"/>
    </xf>
    <xf numFmtId="0" fontId="77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101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2" fontId="21" fillId="0" borderId="0" xfId="57" applyNumberFormat="1" applyFont="1">
      <alignment/>
      <protection/>
    </xf>
    <xf numFmtId="0" fontId="77" fillId="0" borderId="17" xfId="0" applyFont="1" applyFill="1" applyBorder="1" applyAlignment="1">
      <alignment horizontal="left" vertical="center"/>
    </xf>
    <xf numFmtId="0" fontId="88" fillId="0" borderId="17" xfId="0" applyFont="1" applyFill="1" applyBorder="1" applyAlignment="1">
      <alignment horizontal="right" vertical="center"/>
    </xf>
    <xf numFmtId="0" fontId="88" fillId="0" borderId="17" xfId="0" applyFont="1" applyFill="1" applyBorder="1" applyAlignment="1">
      <alignment horizontal="right" vertical="center" wrapText="1"/>
    </xf>
    <xf numFmtId="0" fontId="77" fillId="0" borderId="17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vertical="center" wrapText="1"/>
    </xf>
    <xf numFmtId="0" fontId="100" fillId="0" borderId="12" xfId="57" applyFont="1" applyBorder="1" applyAlignment="1">
      <alignment vertical="center" wrapText="1"/>
      <protection/>
    </xf>
    <xf numFmtId="1" fontId="8" fillId="0" borderId="0" xfId="62" applyNumberFormat="1" applyFont="1" applyBorder="1">
      <alignment/>
      <protection/>
    </xf>
    <xf numFmtId="0" fontId="100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172" fontId="60" fillId="0" borderId="0" xfId="0" applyNumberFormat="1" applyFont="1" applyFill="1" applyAlignment="1">
      <alignment vertical="center" wrapText="1"/>
    </xf>
    <xf numFmtId="1" fontId="6" fillId="0" borderId="0" xfId="62" applyNumberFormat="1" applyFont="1" applyBorder="1">
      <alignment/>
      <protection/>
    </xf>
    <xf numFmtId="1" fontId="85" fillId="0" borderId="0" xfId="62" applyNumberFormat="1" applyFont="1" applyBorder="1" applyAlignment="1">
      <alignment/>
      <protection/>
    </xf>
    <xf numFmtId="1" fontId="68" fillId="0" borderId="0" xfId="62" applyNumberFormat="1" applyFont="1" applyBorder="1" applyAlignment="1">
      <alignment/>
      <protection/>
    </xf>
    <xf numFmtId="1" fontId="15" fillId="0" borderId="0" xfId="62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172" fontId="21" fillId="0" borderId="0" xfId="57" applyNumberFormat="1" applyFont="1">
      <alignment/>
      <protection/>
    </xf>
    <xf numFmtId="0" fontId="13" fillId="0" borderId="0" xfId="57" applyFont="1">
      <alignment/>
      <protection/>
    </xf>
    <xf numFmtId="2" fontId="8" fillId="0" borderId="0" xfId="62" applyNumberFormat="1" applyFont="1" applyBorder="1" applyAlignment="1">
      <alignment vertical="center"/>
      <protection/>
    </xf>
    <xf numFmtId="2" fontId="6" fillId="0" borderId="0" xfId="62" applyNumberFormat="1" applyFont="1" applyBorder="1" applyAlignment="1">
      <alignment vertical="center"/>
      <protection/>
    </xf>
    <xf numFmtId="2" fontId="13" fillId="0" borderId="0" xfId="62" applyNumberFormat="1" applyFont="1" applyBorder="1" applyAlignment="1">
      <alignment horizontal="center" vertical="center"/>
      <protection/>
    </xf>
    <xf numFmtId="2" fontId="18" fillId="0" borderId="0" xfId="62" applyNumberFormat="1" applyFont="1" applyBorder="1" applyAlignment="1">
      <alignment horizontal="center" vertical="center"/>
      <protection/>
    </xf>
    <xf numFmtId="2" fontId="8" fillId="0" borderId="0" xfId="62" applyNumberFormat="1" applyFont="1">
      <alignment/>
      <protection/>
    </xf>
    <xf numFmtId="2" fontId="8" fillId="0" borderId="0" xfId="62" applyNumberFormat="1" applyFont="1" applyAlignment="1">
      <alignment/>
      <protection/>
    </xf>
    <xf numFmtId="2" fontId="15" fillId="0" borderId="0" xfId="0" applyNumberFormat="1" applyFont="1" applyAlignment="1">
      <alignment horizontal="center"/>
    </xf>
    <xf numFmtId="2" fontId="18" fillId="0" borderId="0" xfId="62" applyNumberFormat="1" applyFont="1" applyAlignment="1">
      <alignment/>
      <protection/>
    </xf>
    <xf numFmtId="2" fontId="68" fillId="0" borderId="0" xfId="62" applyNumberFormat="1" applyFont="1" applyAlignment="1">
      <alignment/>
      <protection/>
    </xf>
    <xf numFmtId="172" fontId="12" fillId="0" borderId="0" xfId="62" applyNumberFormat="1" applyFont="1" applyAlignment="1">
      <alignment horizontal="center" vertical="center" textRotation="90"/>
      <protection/>
    </xf>
    <xf numFmtId="0" fontId="103" fillId="0" borderId="12" xfId="57" applyFont="1" applyBorder="1" applyAlignment="1">
      <alignment vertical="center" wrapText="1"/>
      <protection/>
    </xf>
    <xf numFmtId="2" fontId="21" fillId="0" borderId="0" xfId="57" applyNumberFormat="1" applyFont="1">
      <alignment/>
      <protection/>
    </xf>
    <xf numFmtId="173" fontId="60" fillId="0" borderId="0" xfId="0" applyNumberFormat="1" applyFont="1" applyAlignment="1">
      <alignment wrapText="1"/>
    </xf>
    <xf numFmtId="2" fontId="6" fillId="0" borderId="0" xfId="62" applyNumberFormat="1" applyFont="1" applyAlignment="1">
      <alignment/>
      <protection/>
    </xf>
    <xf numFmtId="2" fontId="13" fillId="0" borderId="0" xfId="0" applyNumberFormat="1" applyFont="1" applyAlignment="1">
      <alignment horizontal="center"/>
    </xf>
    <xf numFmtId="176" fontId="14" fillId="0" borderId="0" xfId="57" applyNumberFormat="1" applyFont="1" applyFill="1">
      <alignment/>
      <protection/>
    </xf>
    <xf numFmtId="180" fontId="14" fillId="0" borderId="0" xfId="57" applyNumberFormat="1" applyFont="1">
      <alignment/>
      <protection/>
    </xf>
    <xf numFmtId="1" fontId="88" fillId="26" borderId="10" xfId="0" applyNumberFormat="1" applyFont="1" applyFill="1" applyBorder="1" applyAlignment="1">
      <alignment horizontal="center" vertical="center" wrapText="1"/>
    </xf>
    <xf numFmtId="173" fontId="68" fillId="0" borderId="10" xfId="57" applyNumberFormat="1" applyFont="1" applyBorder="1" applyAlignment="1">
      <alignment horizontal="right" wrapText="1"/>
      <protection/>
    </xf>
    <xf numFmtId="0" fontId="100" fillId="0" borderId="12" xfId="57" applyFont="1" applyBorder="1" applyAlignment="1">
      <alignment horizontal="center" vertical="center" wrapText="1"/>
      <protection/>
    </xf>
    <xf numFmtId="0" fontId="105" fillId="0" borderId="12" xfId="57" applyFont="1" applyBorder="1" applyAlignment="1">
      <alignment horizontal="center" vertical="center" wrapText="1"/>
      <protection/>
    </xf>
    <xf numFmtId="0" fontId="104" fillId="0" borderId="12" xfId="57" applyFont="1" applyBorder="1" applyAlignment="1">
      <alignment vertical="center" wrapText="1"/>
      <protection/>
    </xf>
    <xf numFmtId="0" fontId="100" fillId="0" borderId="0" xfId="57" applyFont="1" applyAlignment="1">
      <alignment horizontal="center" vertical="center"/>
      <protection/>
    </xf>
    <xf numFmtId="0" fontId="54" fillId="0" borderId="10" xfId="59" applyFont="1" applyBorder="1" applyAlignment="1">
      <alignment horizontal="right" vertical="center"/>
      <protection/>
    </xf>
    <xf numFmtId="0" fontId="54" fillId="0" borderId="10" xfId="59" applyFont="1" applyBorder="1" applyAlignment="1">
      <alignment horizontal="left" vertical="center"/>
      <protection/>
    </xf>
    <xf numFmtId="0" fontId="54" fillId="0" borderId="10" xfId="59" applyFont="1" applyFill="1" applyBorder="1" applyAlignment="1">
      <alignment horizontal="right" vertical="center"/>
      <protection/>
    </xf>
    <xf numFmtId="0" fontId="54" fillId="0" borderId="10" xfId="59" applyFont="1" applyFill="1" applyBorder="1" applyAlignment="1">
      <alignment horizontal="left" vertical="center"/>
      <protection/>
    </xf>
    <xf numFmtId="0" fontId="53" fillId="0" borderId="10" xfId="59" applyFont="1" applyFill="1" applyBorder="1">
      <alignment/>
      <protection/>
    </xf>
    <xf numFmtId="0" fontId="53" fillId="0" borderId="10" xfId="59" applyFont="1" applyFill="1" applyBorder="1" applyAlignment="1">
      <alignment horizontal="center" wrapText="1"/>
      <protection/>
    </xf>
    <xf numFmtId="9" fontId="72" fillId="0" borderId="0" xfId="67" applyFont="1" applyFill="1" applyBorder="1" applyAlignment="1">
      <alignment horizontal="center" vertical="center"/>
    </xf>
    <xf numFmtId="177" fontId="0" fillId="0" borderId="0" xfId="67" applyNumberFormat="1" applyFont="1" applyBorder="1" applyAlignment="1">
      <alignment/>
    </xf>
    <xf numFmtId="172" fontId="121" fillId="0" borderId="0" xfId="57" applyNumberFormat="1" applyFont="1" applyAlignment="1">
      <alignment wrapText="1"/>
      <protection/>
    </xf>
    <xf numFmtId="0" fontId="122" fillId="0" borderId="0" xfId="57" applyFont="1">
      <alignment/>
      <protection/>
    </xf>
    <xf numFmtId="172" fontId="122" fillId="0" borderId="0" xfId="57" applyNumberFormat="1" applyFont="1">
      <alignment/>
      <protection/>
    </xf>
    <xf numFmtId="172" fontId="121" fillId="0" borderId="0" xfId="57" applyNumberFormat="1" applyFont="1">
      <alignment/>
      <protection/>
    </xf>
    <xf numFmtId="0" fontId="124" fillId="0" borderId="0" xfId="57" applyFont="1" applyAlignment="1">
      <alignment vertical="center"/>
      <protection/>
    </xf>
    <xf numFmtId="0" fontId="125" fillId="0" borderId="0" xfId="57" applyFont="1" applyAlignment="1">
      <alignment horizontal="right" vertical="center"/>
      <protection/>
    </xf>
    <xf numFmtId="0" fontId="121" fillId="0" borderId="0" xfId="57" applyFont="1" applyAlignment="1">
      <alignment wrapText="1"/>
      <protection/>
    </xf>
    <xf numFmtId="0" fontId="127" fillId="0" borderId="0" xfId="57" applyFont="1" applyAlignment="1">
      <alignment wrapText="1"/>
      <protection/>
    </xf>
    <xf numFmtId="172" fontId="127" fillId="0" borderId="0" xfId="57" applyNumberFormat="1" applyFont="1" applyAlignment="1">
      <alignment wrapText="1"/>
      <protection/>
    </xf>
    <xf numFmtId="2" fontId="122" fillId="0" borderId="0" xfId="57" applyNumberFormat="1" applyFont="1">
      <alignment/>
      <protection/>
    </xf>
    <xf numFmtId="172" fontId="122" fillId="0" borderId="0" xfId="57" applyNumberFormat="1" applyFont="1" applyBorder="1">
      <alignment/>
      <protection/>
    </xf>
    <xf numFmtId="172" fontId="123" fillId="0" borderId="0" xfId="57" applyNumberFormat="1" applyFont="1" applyBorder="1" applyAlignment="1">
      <alignment horizontal="right" wrapText="1"/>
      <protection/>
    </xf>
    <xf numFmtId="172" fontId="121" fillId="0" borderId="0" xfId="57" applyNumberFormat="1" applyFont="1" applyBorder="1">
      <alignment/>
      <protection/>
    </xf>
    <xf numFmtId="0" fontId="126" fillId="0" borderId="0" xfId="0" applyFont="1" applyBorder="1" applyAlignment="1">
      <alignment horizontal="center"/>
    </xf>
    <xf numFmtId="0" fontId="126" fillId="0" borderId="0" xfId="0" applyFont="1" applyBorder="1" applyAlignment="1">
      <alignment horizontal="right"/>
    </xf>
    <xf numFmtId="180" fontId="21" fillId="0" borderId="0" xfId="57" applyNumberFormat="1" applyFont="1">
      <alignment/>
      <protection/>
    </xf>
    <xf numFmtId="0" fontId="83" fillId="0" borderId="12" xfId="57" applyFont="1" applyBorder="1" applyAlignment="1">
      <alignment vertical="center"/>
      <protection/>
    </xf>
    <xf numFmtId="0" fontId="82" fillId="0" borderId="12" xfId="57" applyFont="1" applyBorder="1" applyAlignment="1">
      <alignment vertical="center"/>
      <protection/>
    </xf>
    <xf numFmtId="2" fontId="83" fillId="0" borderId="12" xfId="57" applyNumberFormat="1" applyFont="1" applyBorder="1" applyAlignment="1">
      <alignment vertical="center"/>
      <protection/>
    </xf>
    <xf numFmtId="2" fontId="128" fillId="0" borderId="12" xfId="57" applyNumberFormat="1" applyFont="1" applyBorder="1" applyAlignment="1">
      <alignment vertical="center"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87" fillId="26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19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21" xfId="57" applyFont="1" applyFill="1" applyBorder="1" applyAlignment="1">
      <alignment horizontal="center" vertical="center" wrapText="1"/>
      <protection/>
    </xf>
    <xf numFmtId="0" fontId="16" fillId="0" borderId="22" xfId="57" applyFont="1" applyFill="1" applyBorder="1" applyAlignment="1">
      <alignment horizontal="center" vertical="center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79" fillId="0" borderId="0" xfId="57" applyFont="1" applyAlignment="1">
      <alignment horizontal="right"/>
      <protection/>
    </xf>
    <xf numFmtId="0" fontId="99" fillId="0" borderId="0" xfId="57" applyFont="1" applyFill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172" fontId="102" fillId="0" borderId="15" xfId="0" applyNumberFormat="1" applyFont="1" applyBorder="1" applyAlignment="1">
      <alignment horizontal="right"/>
    </xf>
    <xf numFmtId="172" fontId="102" fillId="0" borderId="14" xfId="0" applyNumberFormat="1" applyFont="1" applyBorder="1" applyAlignment="1">
      <alignment horizontal="right"/>
    </xf>
    <xf numFmtId="1" fontId="12" fillId="0" borderId="10" xfId="62" applyNumberFormat="1" applyFont="1" applyBorder="1" applyAlignment="1">
      <alignment horizontal="center" vertical="center" textRotation="90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27" fillId="0" borderId="15" xfId="62" applyFont="1" applyBorder="1" applyAlignment="1">
      <alignment horizontal="center"/>
      <protection/>
    </xf>
    <xf numFmtId="0" fontId="27" fillId="0" borderId="14" xfId="62" applyFont="1" applyBorder="1" applyAlignment="1">
      <alignment horizontal="center"/>
      <protection/>
    </xf>
    <xf numFmtId="0" fontId="26" fillId="0" borderId="17" xfId="62" applyFont="1" applyBorder="1" applyAlignment="1">
      <alignment horizontal="center" vertical="center" wrapText="1"/>
      <protection/>
    </xf>
    <xf numFmtId="0" fontId="26" fillId="0" borderId="16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66" fillId="0" borderId="0" xfId="62" applyFont="1" applyFill="1" applyBorder="1" applyAlignment="1">
      <alignment horizontal="center"/>
      <protection/>
    </xf>
    <xf numFmtId="0" fontId="66" fillId="0" borderId="0" xfId="62" applyFont="1" applyBorder="1" applyAlignment="1">
      <alignment horizontal="center"/>
      <protection/>
    </xf>
    <xf numFmtId="0" fontId="20" fillId="0" borderId="17" xfId="62" applyFont="1" applyFill="1" applyBorder="1" applyAlignment="1">
      <alignment horizontal="center" vertical="center" wrapText="1"/>
      <protection/>
    </xf>
    <xf numFmtId="0" fontId="20" fillId="0" borderId="18" xfId="62" applyFont="1" applyFill="1" applyBorder="1" applyAlignment="1">
      <alignment horizontal="center" vertical="center" wrapText="1"/>
      <protection/>
    </xf>
    <xf numFmtId="0" fontId="20" fillId="0" borderId="16" xfId="62" applyFont="1" applyFill="1" applyBorder="1" applyAlignment="1">
      <alignment horizontal="center" vertical="center" wrapText="1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13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66" fillId="0" borderId="19" xfId="62" applyFont="1" applyBorder="1" applyAlignment="1">
      <alignment horizontal="center"/>
      <protection/>
    </xf>
    <xf numFmtId="0" fontId="20" fillId="0" borderId="15" xfId="62" applyFont="1" applyBorder="1" applyAlignment="1">
      <alignment horizontal="center" vertical="center" wrapText="1"/>
      <protection/>
    </xf>
    <xf numFmtId="0" fontId="20" fillId="0" borderId="20" xfId="62" applyFont="1" applyBorder="1" applyAlignment="1">
      <alignment horizontal="center" vertical="center" wrapText="1"/>
      <protection/>
    </xf>
    <xf numFmtId="0" fontId="20" fillId="0" borderId="14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12" fillId="0" borderId="0" xfId="62" applyFont="1" applyAlignment="1">
      <alignment horizontal="right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41" fillId="7" borderId="10" xfId="61" applyFont="1" applyFill="1" applyBorder="1" applyAlignment="1">
      <alignment horizontal="center" vertical="center" wrapText="1"/>
      <protection/>
    </xf>
    <xf numFmtId="0" fontId="41" fillId="24" borderId="10" xfId="61" applyFont="1" applyFill="1" applyBorder="1" applyAlignment="1">
      <alignment horizontal="center" vertical="center" wrapText="1"/>
      <protection/>
    </xf>
    <xf numFmtId="0" fontId="41" fillId="24" borderId="1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right" vertical="center" wrapText="1"/>
      <protection/>
    </xf>
    <xf numFmtId="0" fontId="40" fillId="25" borderId="10" xfId="61" applyFont="1" applyFill="1" applyBorder="1" applyAlignment="1">
      <alignment horizontal="center" vertical="center" wrapText="1"/>
      <protection/>
    </xf>
    <xf numFmtId="0" fontId="25" fillId="0" borderId="0" xfId="61" applyFont="1" applyAlignment="1">
      <alignment horizontal="center" vertical="center" wrapText="1"/>
      <protection/>
    </xf>
    <xf numFmtId="0" fontId="41" fillId="24" borderId="15" xfId="61" applyFont="1" applyFill="1" applyBorder="1" applyAlignment="1">
      <alignment horizontal="center" vertical="center" wrapText="1"/>
      <protection/>
    </xf>
    <xf numFmtId="0" fontId="41" fillId="24" borderId="20" xfId="6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0" fillId="24" borderId="10" xfId="61" applyFont="1" applyFill="1" applyBorder="1" applyAlignment="1">
      <alignment horizontal="center" vertical="center" wrapText="1"/>
      <protection/>
    </xf>
    <xf numFmtId="0" fontId="84" fillId="0" borderId="17" xfId="61" applyFont="1" applyBorder="1" applyAlignment="1">
      <alignment horizontal="center" vertical="center" wrapText="1"/>
      <protection/>
    </xf>
    <xf numFmtId="0" fontId="84" fillId="0" borderId="18" xfId="61" applyFont="1" applyBorder="1" applyAlignment="1">
      <alignment horizontal="center" vertical="center" wrapText="1"/>
      <protection/>
    </xf>
    <xf numFmtId="0" fontId="84" fillId="0" borderId="16" xfId="61" applyFont="1" applyBorder="1" applyAlignment="1">
      <alignment horizontal="center" vertical="center" wrapText="1"/>
      <protection/>
    </xf>
    <xf numFmtId="0" fontId="41" fillId="25" borderId="10" xfId="61" applyFont="1" applyFill="1" applyBorder="1" applyAlignment="1">
      <alignment horizontal="center" vertical="center" wrapText="1"/>
      <protection/>
    </xf>
    <xf numFmtId="0" fontId="41" fillId="4" borderId="15" xfId="61" applyFont="1" applyFill="1" applyBorder="1" applyAlignment="1">
      <alignment horizontal="center" vertical="center" wrapText="1"/>
      <protection/>
    </xf>
    <xf numFmtId="0" fontId="41" fillId="4" borderId="14" xfId="61" applyFont="1" applyFill="1" applyBorder="1" applyAlignment="1">
      <alignment horizontal="center" vertical="center" wrapText="1"/>
      <protection/>
    </xf>
    <xf numFmtId="0" fontId="40" fillId="24" borderId="10" xfId="61" applyFont="1" applyFill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40" fillId="0" borderId="18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0" fillId="4" borderId="15" xfId="61" applyFont="1" applyFill="1" applyBorder="1" applyAlignment="1">
      <alignment horizontal="center" vertical="center" wrapText="1"/>
      <protection/>
    </xf>
    <xf numFmtId="0" fontId="40" fillId="4" borderId="14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Mar' 09_NREGS-Jalpaiguri" xfId="60"/>
    <cellStyle name="Normal_APD-II_Mar' 09_NREGS-Jalpaiguri" xfId="61"/>
    <cellStyle name="Normal_April, 08_NREGS" xfId="62"/>
    <cellStyle name="Normal_Part-I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914400</xdr:colOff>
      <xdr:row>6</xdr:row>
      <xdr:rowOff>200025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71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10%20Jalpaigu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c-10%20Jalpaigu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eb-11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13">
          <cell r="O13">
            <v>0.50363</v>
          </cell>
          <cell r="R13">
            <v>0.11532</v>
          </cell>
        </row>
        <row r="14">
          <cell r="O14">
            <v>1.5777</v>
          </cell>
          <cell r="R14">
            <v>0.14178</v>
          </cell>
        </row>
        <row r="15">
          <cell r="O15">
            <v>2.33612</v>
          </cell>
          <cell r="R15">
            <v>0.49823</v>
          </cell>
        </row>
        <row r="16">
          <cell r="O16">
            <v>0.96977</v>
          </cell>
          <cell r="R16">
            <v>0.11745</v>
          </cell>
        </row>
        <row r="17">
          <cell r="O17">
            <v>0.64424</v>
          </cell>
          <cell r="R17">
            <v>0.02875</v>
          </cell>
        </row>
        <row r="18">
          <cell r="O18">
            <v>1.4333</v>
          </cell>
          <cell r="R18">
            <v>0.37746</v>
          </cell>
        </row>
        <row r="19">
          <cell r="O19">
            <v>1.46174</v>
          </cell>
          <cell r="R19">
            <v>0.28625</v>
          </cell>
        </row>
        <row r="20">
          <cell r="O20">
            <v>1.38671</v>
          </cell>
          <cell r="R20">
            <v>0.25525</v>
          </cell>
        </row>
        <row r="21">
          <cell r="O21">
            <v>0.46839</v>
          </cell>
          <cell r="R21">
            <v>0.08984</v>
          </cell>
        </row>
        <row r="22">
          <cell r="O22">
            <v>0.80157</v>
          </cell>
          <cell r="R22">
            <v>0.09635</v>
          </cell>
        </row>
        <row r="23">
          <cell r="O23">
            <v>0.40852</v>
          </cell>
          <cell r="R23">
            <v>0.08007</v>
          </cell>
        </row>
        <row r="24">
          <cell r="O24">
            <v>0.60948</v>
          </cell>
          <cell r="R24">
            <v>0.29007</v>
          </cell>
        </row>
        <row r="25">
          <cell r="O25">
            <v>0.55486</v>
          </cell>
          <cell r="R25">
            <v>0.16861999999999996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13">
          <cell r="R13">
            <v>0.62158</v>
          </cell>
          <cell r="U13">
            <v>0.12962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30">
          <cell r="P30">
            <v>11145.177075999998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view="pageBreakPreview" zoomScale="55" zoomScaleNormal="70" zoomScaleSheetLayoutView="55" zoomScalePageLayoutView="0" workbookViewId="0" topLeftCell="A1">
      <selection activeCell="A20" sqref="A20:IV20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11.28125" style="1" customWidth="1"/>
    <col min="4" max="5" width="8.421875" style="1" customWidth="1"/>
    <col min="6" max="6" width="10.00390625" style="1" customWidth="1"/>
    <col min="7" max="7" width="9.421875" style="1" customWidth="1"/>
    <col min="8" max="8" width="11.421875" style="1" customWidth="1"/>
    <col min="9" max="9" width="11.57421875" style="187" customWidth="1"/>
    <col min="10" max="10" width="11.8515625" style="1" customWidth="1"/>
    <col min="11" max="11" width="10.140625" style="1" customWidth="1"/>
    <col min="12" max="12" width="10.8515625" style="187" customWidth="1"/>
    <col min="13" max="13" width="10.421875" style="1" customWidth="1"/>
    <col min="14" max="14" width="10.28125" style="1" customWidth="1"/>
    <col min="15" max="15" width="10.421875" style="1" customWidth="1"/>
    <col min="16" max="16" width="11.421875" style="1" customWidth="1"/>
    <col min="17" max="17" width="11.28125" style="1" customWidth="1"/>
    <col min="18" max="18" width="10.421875" style="1" customWidth="1"/>
    <col min="19" max="19" width="8.8515625" style="1" customWidth="1"/>
    <col min="20" max="20" width="7.7109375" style="1" customWidth="1"/>
    <col min="21" max="21" width="7.421875" style="1" customWidth="1"/>
    <col min="22" max="22" width="9.140625" style="1" customWidth="1"/>
    <col min="23" max="23" width="11.57421875" style="1" bestFit="1" customWidth="1"/>
    <col min="24" max="27" width="11.57421875" style="1" hidden="1" customWidth="1"/>
    <col min="28" max="28" width="10.421875" style="1" bestFit="1" customWidth="1"/>
    <col min="29" max="30" width="9.140625" style="1" customWidth="1"/>
    <col min="31" max="37" width="9.140625" style="1" hidden="1" customWidth="1"/>
    <col min="38" max="50" width="9.140625" style="1" customWidth="1"/>
    <col min="51" max="51" width="13.00390625" style="1" bestFit="1" customWidth="1"/>
    <col min="52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46"/>
      <c r="Q1" s="346"/>
      <c r="R1" s="346"/>
      <c r="S1" s="346"/>
      <c r="T1" s="2"/>
    </row>
    <row r="2" spans="1:21" s="4" customFormat="1" ht="31.5" customHeight="1">
      <c r="A2" s="347" t="s">
        <v>138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48" t="s">
        <v>37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">
      <c r="A6" s="349" t="s">
        <v>141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</row>
    <row r="7" spans="1:21" ht="16.5">
      <c r="A7" s="26"/>
      <c r="T7" s="350" t="s">
        <v>21</v>
      </c>
      <c r="U7" s="350"/>
    </row>
    <row r="8" spans="1:21" s="133" customFormat="1" ht="16.5">
      <c r="A8" s="351">
        <v>1</v>
      </c>
      <c r="B8" s="351">
        <v>2</v>
      </c>
      <c r="C8" s="132"/>
      <c r="D8" s="351">
        <v>3</v>
      </c>
      <c r="E8" s="351"/>
      <c r="F8" s="351"/>
      <c r="G8" s="351"/>
      <c r="H8" s="339">
        <v>4</v>
      </c>
      <c r="I8" s="345">
        <v>5</v>
      </c>
      <c r="J8" s="351">
        <v>6</v>
      </c>
      <c r="K8" s="351">
        <v>7</v>
      </c>
      <c r="L8" s="345">
        <v>8</v>
      </c>
      <c r="M8" s="357">
        <v>9</v>
      </c>
      <c r="N8" s="358"/>
      <c r="O8" s="358"/>
      <c r="P8" s="358"/>
      <c r="Q8" s="343"/>
      <c r="R8" s="220"/>
      <c r="S8" s="351">
        <v>10</v>
      </c>
      <c r="T8" s="351">
        <v>11</v>
      </c>
      <c r="U8" s="351">
        <v>12</v>
      </c>
    </row>
    <row r="9" spans="1:21" s="133" customFormat="1" ht="16.5">
      <c r="A9" s="351"/>
      <c r="B9" s="351"/>
      <c r="C9" s="132"/>
      <c r="D9" s="132" t="s">
        <v>16</v>
      </c>
      <c r="E9" s="132" t="s">
        <v>17</v>
      </c>
      <c r="F9" s="132" t="s">
        <v>18</v>
      </c>
      <c r="G9" s="132" t="s">
        <v>19</v>
      </c>
      <c r="H9" s="340"/>
      <c r="I9" s="345">
        <v>5</v>
      </c>
      <c r="J9" s="351">
        <v>6</v>
      </c>
      <c r="K9" s="351">
        <v>7</v>
      </c>
      <c r="L9" s="345">
        <v>8</v>
      </c>
      <c r="M9" s="132" t="s">
        <v>16</v>
      </c>
      <c r="N9" s="132" t="s">
        <v>17</v>
      </c>
      <c r="O9" s="132" t="s">
        <v>18</v>
      </c>
      <c r="P9" s="132" t="s">
        <v>19</v>
      </c>
      <c r="Q9" s="132" t="s">
        <v>20</v>
      </c>
      <c r="R9" s="132"/>
      <c r="S9" s="351"/>
      <c r="T9" s="351"/>
      <c r="U9" s="351"/>
    </row>
    <row r="10" spans="1:28" s="38" customFormat="1" ht="57" customHeight="1">
      <c r="A10" s="355" t="s">
        <v>0</v>
      </c>
      <c r="B10" s="355" t="s">
        <v>22</v>
      </c>
      <c r="C10" s="337" t="s">
        <v>105</v>
      </c>
      <c r="D10" s="355" t="s">
        <v>1</v>
      </c>
      <c r="E10" s="355"/>
      <c r="F10" s="355"/>
      <c r="G10" s="355"/>
      <c r="H10" s="337" t="s">
        <v>6</v>
      </c>
      <c r="I10" s="344" t="s">
        <v>7</v>
      </c>
      <c r="J10" s="355" t="s">
        <v>8</v>
      </c>
      <c r="K10" s="355" t="s">
        <v>9</v>
      </c>
      <c r="L10" s="344" t="s">
        <v>10</v>
      </c>
      <c r="M10" s="352" t="s">
        <v>11</v>
      </c>
      <c r="N10" s="353"/>
      <c r="O10" s="353"/>
      <c r="P10" s="353"/>
      <c r="Q10" s="353"/>
      <c r="R10" s="354"/>
      <c r="S10" s="355" t="s">
        <v>13</v>
      </c>
      <c r="T10" s="355" t="s">
        <v>14</v>
      </c>
      <c r="U10" s="355" t="s">
        <v>15</v>
      </c>
      <c r="V10" s="356" t="s">
        <v>107</v>
      </c>
      <c r="W10" s="355" t="s">
        <v>108</v>
      </c>
      <c r="X10" s="248"/>
      <c r="Y10" s="248"/>
      <c r="Z10" s="248"/>
      <c r="AA10" s="248"/>
      <c r="AB10" s="248"/>
    </row>
    <row r="11" spans="1:53" s="38" customFormat="1" ht="111.75" customHeight="1">
      <c r="A11" s="355"/>
      <c r="B11" s="355"/>
      <c r="C11" s="338"/>
      <c r="D11" s="37" t="s">
        <v>2</v>
      </c>
      <c r="E11" s="37" t="s">
        <v>3</v>
      </c>
      <c r="F11" s="37" t="s">
        <v>4</v>
      </c>
      <c r="G11" s="37" t="s">
        <v>5</v>
      </c>
      <c r="H11" s="338"/>
      <c r="I11" s="344"/>
      <c r="J11" s="355"/>
      <c r="K11" s="355"/>
      <c r="L11" s="344"/>
      <c r="M11" s="243" t="s">
        <v>2</v>
      </c>
      <c r="N11" s="243" t="s">
        <v>3</v>
      </c>
      <c r="O11" s="243" t="s">
        <v>4</v>
      </c>
      <c r="P11" s="243" t="s">
        <v>5</v>
      </c>
      <c r="Q11" s="243" t="s">
        <v>12</v>
      </c>
      <c r="R11" s="243" t="s">
        <v>121</v>
      </c>
      <c r="S11" s="355"/>
      <c r="T11" s="355"/>
      <c r="U11" s="355"/>
      <c r="V11" s="356"/>
      <c r="W11" s="355"/>
      <c r="X11" s="248"/>
      <c r="Y11" s="248"/>
      <c r="Z11" s="248"/>
      <c r="AA11" s="248"/>
      <c r="AB11" s="248"/>
      <c r="AY11" s="38" t="s">
        <v>139</v>
      </c>
      <c r="BA11" s="38" t="s">
        <v>12</v>
      </c>
    </row>
    <row r="12" spans="1:48" s="247" customFormat="1" ht="15.75">
      <c r="A12" s="243">
        <v>1</v>
      </c>
      <c r="B12" s="243">
        <v>2</v>
      </c>
      <c r="C12" s="244"/>
      <c r="D12" s="243" t="s">
        <v>123</v>
      </c>
      <c r="E12" s="243" t="s">
        <v>124</v>
      </c>
      <c r="F12" s="243" t="s">
        <v>125</v>
      </c>
      <c r="G12" s="243" t="s">
        <v>126</v>
      </c>
      <c r="H12" s="244">
        <v>4</v>
      </c>
      <c r="I12" s="245">
        <v>5</v>
      </c>
      <c r="J12" s="243">
        <v>6</v>
      </c>
      <c r="K12" s="243">
        <v>7</v>
      </c>
      <c r="L12" s="245">
        <v>8</v>
      </c>
      <c r="M12" s="243" t="s">
        <v>127</v>
      </c>
      <c r="N12" s="243" t="s">
        <v>128</v>
      </c>
      <c r="O12" s="243" t="s">
        <v>129</v>
      </c>
      <c r="P12" s="243" t="s">
        <v>130</v>
      </c>
      <c r="Q12" s="243" t="s">
        <v>131</v>
      </c>
      <c r="R12" s="243" t="s">
        <v>122</v>
      </c>
      <c r="S12" s="243">
        <v>10</v>
      </c>
      <c r="T12" s="243">
        <v>11</v>
      </c>
      <c r="U12" s="243">
        <v>12</v>
      </c>
      <c r="V12" s="246"/>
      <c r="W12" s="243"/>
      <c r="X12" s="249"/>
      <c r="Y12" s="249"/>
      <c r="Z12" s="249"/>
      <c r="AA12" s="249"/>
      <c r="AB12" s="249"/>
      <c r="AS12" s="247" t="s">
        <v>2</v>
      </c>
      <c r="AT12" s="247" t="s">
        <v>3</v>
      </c>
      <c r="AU12" s="247" t="s">
        <v>4</v>
      </c>
      <c r="AV12" s="247" t="s">
        <v>5</v>
      </c>
    </row>
    <row r="13" spans="1:63" s="196" customFormat="1" ht="26.25" customHeight="1">
      <c r="A13" s="191">
        <v>1</v>
      </c>
      <c r="B13" s="192" t="s">
        <v>23</v>
      </c>
      <c r="C13" s="193">
        <v>40448</v>
      </c>
      <c r="D13" s="193">
        <v>21046</v>
      </c>
      <c r="E13" s="193">
        <v>8586</v>
      </c>
      <c r="F13" s="193">
        <v>10816</v>
      </c>
      <c r="G13" s="159">
        <f aca="true" t="shared" si="0" ref="G13:G25">SUM(D13:F13)</f>
        <v>40448</v>
      </c>
      <c r="H13" s="194">
        <v>22760</v>
      </c>
      <c r="I13" s="260"/>
      <c r="J13" s="195">
        <v>22760</v>
      </c>
      <c r="K13" s="194">
        <v>3093</v>
      </c>
      <c r="L13" s="226"/>
      <c r="M13" s="237">
        <v>3.225233</v>
      </c>
      <c r="N13" s="237">
        <v>1.2150106</v>
      </c>
      <c r="O13" s="237">
        <v>1.09179</v>
      </c>
      <c r="P13" s="238">
        <f>SUM(M13:O13)</f>
        <v>5.5320336</v>
      </c>
      <c r="Q13" s="239">
        <v>2.53551</v>
      </c>
      <c r="R13" s="239">
        <v>0.2276743456996686</v>
      </c>
      <c r="S13" s="194">
        <v>92</v>
      </c>
      <c r="T13" s="194">
        <v>1870</v>
      </c>
      <c r="U13" s="194">
        <v>34</v>
      </c>
      <c r="V13" s="221">
        <f aca="true" t="shared" si="1" ref="V13:V27">(P13*100000)/J13</f>
        <v>24.30594727592267</v>
      </c>
      <c r="W13" s="222">
        <f aca="true" t="shared" si="2" ref="W13:W27">Q13/P13</f>
        <v>0.45833235720043347</v>
      </c>
      <c r="X13" s="250">
        <f aca="true" t="shared" si="3" ref="X13:X22">Q13/P13</f>
        <v>0.45833235720043347</v>
      </c>
      <c r="Y13" s="250">
        <f aca="true" t="shared" si="4" ref="Y13:Y22">R13/O13</f>
        <v>0.2085330930853631</v>
      </c>
      <c r="Z13" s="196">
        <f>ROUND(X13*'[2]Part-I'!P12,5)</f>
        <v>0.30829</v>
      </c>
      <c r="AA13" s="196">
        <f>ROUND(Y13*'[2]Part-I'!O12,5)</f>
        <v>0.02985</v>
      </c>
      <c r="AB13" s="196">
        <f>'Part-II'!K13/'Part-I'!P13</f>
        <v>105.97539935404585</v>
      </c>
      <c r="AC13" s="196">
        <v>100.5629462150548</v>
      </c>
      <c r="AD13" s="196">
        <v>4.0338283</v>
      </c>
      <c r="AL13" s="196">
        <v>4.0338283</v>
      </c>
      <c r="AM13" s="196">
        <f>AL13-AD13</f>
        <v>0</v>
      </c>
      <c r="AN13" s="196">
        <f>'Part-II'!K13/'Part-I'!AL13</f>
        <v>145.33575214393733</v>
      </c>
      <c r="AO13" s="196">
        <v>3.2671058000000004</v>
      </c>
      <c r="AP13" s="196">
        <f>M13/$P13</f>
        <v>0.5830103779557665</v>
      </c>
      <c r="AQ13" s="196">
        <f>N13/$P13</f>
        <v>0.21963181857752997</v>
      </c>
      <c r="AR13" s="196">
        <f>O13/$P13</f>
        <v>0.19735780346670345</v>
      </c>
      <c r="AS13" s="196">
        <f>ROUND(AP13*$AL13,5)</f>
        <v>2.35176</v>
      </c>
      <c r="AT13" s="196">
        <f>ROUND(AQ13*$AL13,5)</f>
        <v>0.88596</v>
      </c>
      <c r="AU13" s="196">
        <v>0.89456</v>
      </c>
      <c r="AV13" s="278">
        <f>SUM(AS13:AU13)</f>
        <v>4.13228</v>
      </c>
      <c r="AW13" s="278">
        <v>0.98478</v>
      </c>
      <c r="AX13" s="278">
        <f>'[4]Part-I'!$U$13/'[4]Part-I'!$R$13</f>
        <v>0.2085330930853631</v>
      </c>
      <c r="AY13" s="196">
        <f>AX13*AU13</f>
        <v>0.18654536375044242</v>
      </c>
      <c r="AZ13" s="196">
        <v>0.38156095220424135</v>
      </c>
      <c r="BA13" s="278">
        <f>AV13*AZ13</f>
        <v>1.5767166915745423</v>
      </c>
      <c r="BB13" s="278">
        <f>BA13-Q13</f>
        <v>-0.9587933084254576</v>
      </c>
      <c r="BC13" s="196">
        <f>'[3]Part-I'!R13/'[3]Part-I'!O13</f>
        <v>0.22897762246093362</v>
      </c>
      <c r="BD13" s="196">
        <f aca="true" t="shared" si="5" ref="BD13:BD25">BC13*O13</f>
        <v>0.24999547842662273</v>
      </c>
      <c r="BE13" s="278">
        <f>BD13-R13</f>
        <v>0.02232113272695413</v>
      </c>
      <c r="BF13" s="196">
        <v>7</v>
      </c>
      <c r="BG13" s="196">
        <v>1269</v>
      </c>
      <c r="BH13" s="196">
        <v>26</v>
      </c>
      <c r="BI13" s="196">
        <f>BF13-S13</f>
        <v>-85</v>
      </c>
      <c r="BJ13" s="196">
        <f>BG13-T13</f>
        <v>-601</v>
      </c>
      <c r="BK13" s="196">
        <f>BH13-U13</f>
        <v>-8</v>
      </c>
    </row>
    <row r="14" spans="1:63" s="196" customFormat="1" ht="26.25" customHeight="1">
      <c r="A14" s="191">
        <v>2</v>
      </c>
      <c r="B14" s="192" t="s">
        <v>24</v>
      </c>
      <c r="C14" s="197">
        <v>44575</v>
      </c>
      <c r="D14" s="193">
        <v>19699</v>
      </c>
      <c r="E14" s="193">
        <v>9478</v>
      </c>
      <c r="F14" s="193">
        <v>13086</v>
      </c>
      <c r="G14" s="159">
        <f t="shared" si="0"/>
        <v>42263</v>
      </c>
      <c r="H14" s="194">
        <v>24297</v>
      </c>
      <c r="I14" s="260"/>
      <c r="J14" s="195">
        <v>24297</v>
      </c>
      <c r="K14" s="194">
        <v>1010</v>
      </c>
      <c r="L14" s="226"/>
      <c r="M14" s="237">
        <v>2.0247414999999997</v>
      </c>
      <c r="N14" s="237">
        <v>1.00672</v>
      </c>
      <c r="O14" s="237">
        <v>2.19887</v>
      </c>
      <c r="P14" s="238">
        <f aca="true" t="shared" si="6" ref="P14:P25">SUM(M14:O14)</f>
        <v>5.2303315</v>
      </c>
      <c r="Q14" s="239">
        <v>1.99213</v>
      </c>
      <c r="R14" s="239">
        <v>0.45853716239261233</v>
      </c>
      <c r="S14" s="194">
        <v>63</v>
      </c>
      <c r="T14" s="195">
        <v>1718</v>
      </c>
      <c r="U14" s="194">
        <v>1058</v>
      </c>
      <c r="V14" s="221">
        <f t="shared" si="1"/>
        <v>21.526655554183645</v>
      </c>
      <c r="W14" s="222">
        <f t="shared" si="2"/>
        <v>0.38088025586905916</v>
      </c>
      <c r="X14" s="250">
        <f t="shared" si="3"/>
        <v>0.38088025586905916</v>
      </c>
      <c r="Y14" s="250">
        <f t="shared" si="4"/>
        <v>0.2085330930853631</v>
      </c>
      <c r="Z14" s="196">
        <f>ROUND(X14*'[2]Part-I'!P13,5)</f>
        <v>0.45078</v>
      </c>
      <c r="AA14" s="196">
        <f>ROUND(Y14*'[2]Part-I'!O13,5)</f>
        <v>0.07645</v>
      </c>
      <c r="AB14" s="196">
        <f>'Part-II'!K14/'Part-I'!P14</f>
        <v>100.58809847903522</v>
      </c>
      <c r="AC14" s="196">
        <v>101.58987</v>
      </c>
      <c r="AD14" s="196">
        <v>2.95278</v>
      </c>
      <c r="AF14" s="228"/>
      <c r="AI14" s="229"/>
      <c r="AL14" s="196">
        <f>'Part-II'!K14/'Part-I'!AC14</f>
        <v>5.178755519620214</v>
      </c>
      <c r="AM14" s="196">
        <f aca="true" t="shared" si="7" ref="AM14:AM25">AL14-AD14</f>
        <v>2.225975519620214</v>
      </c>
      <c r="AN14" s="196">
        <f>'Part-II'!K14/'Part-I'!AL14</f>
        <v>101.58987</v>
      </c>
      <c r="AO14" s="196">
        <f>'Part-II'!K14/'Part-I'!AC14</f>
        <v>5.178755519620214</v>
      </c>
      <c r="AP14" s="196">
        <f aca="true" t="shared" si="8" ref="AP14:AP25">M14/$P14</f>
        <v>0.3871153291144165</v>
      </c>
      <c r="AQ14" s="196">
        <f aca="true" t="shared" si="9" ref="AQ14:AQ25">N14/$P14</f>
        <v>0.19247728370563127</v>
      </c>
      <c r="AR14" s="196">
        <f aca="true" t="shared" si="10" ref="AR14:AR25">O14/$P14</f>
        <v>0.42040738717995213</v>
      </c>
      <c r="AS14" s="196">
        <f aca="true" t="shared" si="11" ref="AS14:AS25">ROUND(AP14*$AL14,5)</f>
        <v>2.00478</v>
      </c>
      <c r="AT14" s="196">
        <f aca="true" t="shared" si="12" ref="AT14:AT25">ROUND(AQ14*$AL14,5)</f>
        <v>0.99679</v>
      </c>
      <c r="AU14" s="196">
        <v>2.19887</v>
      </c>
      <c r="AV14" s="278">
        <f aca="true" t="shared" si="13" ref="AV14:AV25">SUM(AS14:AU14)</f>
        <v>5.2004399999999995</v>
      </c>
      <c r="AW14" s="278">
        <v>0.87223</v>
      </c>
      <c r="AX14" s="278">
        <f>'[4]Part-I'!$U$13/'[4]Part-I'!$R$13</f>
        <v>0.2085330930853631</v>
      </c>
      <c r="AY14" s="196">
        <f aca="true" t="shared" si="14" ref="AY14:AY25">AX14*AU14</f>
        <v>0.45853716239261233</v>
      </c>
      <c r="AZ14" s="196">
        <v>0.31109344803939903</v>
      </c>
      <c r="BA14" s="278">
        <f aca="true" t="shared" si="15" ref="BA14:BA25">AV14*AZ14</f>
        <v>1.617822810922012</v>
      </c>
      <c r="BB14" s="278">
        <f aca="true" t="shared" si="16" ref="BB14:BB25">BA14-Q14</f>
        <v>-0.3743071890779879</v>
      </c>
      <c r="BC14" s="196">
        <f>'[3]Part-I'!R14/'[3]Part-I'!O14</f>
        <v>0.08986499334474234</v>
      </c>
      <c r="BD14" s="196">
        <f t="shared" si="5"/>
        <v>0.19760143791595358</v>
      </c>
      <c r="BE14" s="278">
        <f aca="true" t="shared" si="17" ref="BE14:BE25">BD14-R14</f>
        <v>-0.26093572447665875</v>
      </c>
      <c r="BF14" s="196">
        <v>16</v>
      </c>
      <c r="BG14" s="196">
        <v>256</v>
      </c>
      <c r="BH14" s="196">
        <v>29</v>
      </c>
      <c r="BI14" s="196">
        <f aca="true" t="shared" si="18" ref="BI14:BI25">BF14-S14</f>
        <v>-47</v>
      </c>
      <c r="BJ14" s="196">
        <f aca="true" t="shared" si="19" ref="BJ14:BJ25">BG14-T14</f>
        <v>-1462</v>
      </c>
      <c r="BK14" s="196">
        <f aca="true" t="shared" si="20" ref="BK14:BK25">BH14-U14</f>
        <v>-1029</v>
      </c>
    </row>
    <row r="15" spans="1:63" s="196" customFormat="1" ht="26.25" customHeight="1">
      <c r="A15" s="191">
        <v>3</v>
      </c>
      <c r="B15" s="192" t="s">
        <v>25</v>
      </c>
      <c r="C15" s="197">
        <v>80508</v>
      </c>
      <c r="D15" s="193">
        <v>39105</v>
      </c>
      <c r="E15" s="193">
        <v>16764</v>
      </c>
      <c r="F15" s="193">
        <v>22691</v>
      </c>
      <c r="G15" s="159">
        <f t="shared" si="0"/>
        <v>78560</v>
      </c>
      <c r="H15" s="194">
        <v>42961</v>
      </c>
      <c r="I15" s="260"/>
      <c r="J15" s="195">
        <v>42961</v>
      </c>
      <c r="K15" s="194">
        <v>4749</v>
      </c>
      <c r="L15" s="226"/>
      <c r="M15" s="237">
        <v>7.45468</v>
      </c>
      <c r="N15" s="237">
        <v>2.79704</v>
      </c>
      <c r="O15" s="237">
        <v>3.41663</v>
      </c>
      <c r="P15" s="238">
        <f t="shared" si="6"/>
        <v>13.668349999999998</v>
      </c>
      <c r="Q15" s="239">
        <v>5.5967</v>
      </c>
      <c r="R15" s="239">
        <v>0.7124804218282441</v>
      </c>
      <c r="S15" s="194">
        <v>81</v>
      </c>
      <c r="T15" s="195">
        <v>602</v>
      </c>
      <c r="U15" s="194">
        <v>36</v>
      </c>
      <c r="V15" s="221">
        <f t="shared" si="1"/>
        <v>31.81571658015409</v>
      </c>
      <c r="W15" s="222">
        <f t="shared" si="2"/>
        <v>0.40946420014120216</v>
      </c>
      <c r="X15" s="250">
        <f t="shared" si="3"/>
        <v>0.40946420014120216</v>
      </c>
      <c r="Y15" s="250">
        <f t="shared" si="4"/>
        <v>0.20853309308536308</v>
      </c>
      <c r="Z15" s="196">
        <f>ROUND(X15*'[2]Part-I'!P14,5)</f>
        <v>1.27238</v>
      </c>
      <c r="AA15" s="196">
        <f>ROUND(Y15*'[2]Part-I'!O14,5)</f>
        <v>0.18348</v>
      </c>
      <c r="AB15" s="196">
        <f>'Part-II'!K15/'Part-I'!P15</f>
        <v>107.03527346022015</v>
      </c>
      <c r="AC15" s="196">
        <v>100.05933705211298</v>
      </c>
      <c r="AD15" s="196">
        <v>11.595</v>
      </c>
      <c r="AL15" s="196">
        <f>'Part-II'!K15/'Part-I'!AC15</f>
        <v>14.62127996348848</v>
      </c>
      <c r="AM15" s="196">
        <f t="shared" si="7"/>
        <v>3.026279963488479</v>
      </c>
      <c r="AN15" s="196">
        <f>'Part-II'!K15/'Part-I'!AL15</f>
        <v>100.05933705211298</v>
      </c>
      <c r="AO15" s="196">
        <f>'Part-II'!K15/'Part-I'!AC15</f>
        <v>14.62127996348848</v>
      </c>
      <c r="AP15" s="196">
        <f t="shared" si="8"/>
        <v>0.5453972132700728</v>
      </c>
      <c r="AQ15" s="196">
        <f t="shared" si="9"/>
        <v>0.20463625821697573</v>
      </c>
      <c r="AR15" s="196">
        <f t="shared" si="10"/>
        <v>0.24996652851295148</v>
      </c>
      <c r="AS15" s="196">
        <f t="shared" si="11"/>
        <v>7.97441</v>
      </c>
      <c r="AT15" s="196">
        <f t="shared" si="12"/>
        <v>2.99204</v>
      </c>
      <c r="AU15" s="196">
        <v>3.41663</v>
      </c>
      <c r="AV15" s="278">
        <f t="shared" si="13"/>
        <v>14.38308</v>
      </c>
      <c r="AW15" s="278">
        <v>2.98874</v>
      </c>
      <c r="AX15" s="278">
        <f>'[4]Part-I'!$U$13/'[4]Part-I'!$R$13</f>
        <v>0.2085330930853631</v>
      </c>
      <c r="AY15" s="196">
        <f t="shared" si="14"/>
        <v>0.7124804218282441</v>
      </c>
      <c r="AZ15" s="196">
        <v>0.45</v>
      </c>
      <c r="BA15" s="278">
        <f t="shared" si="15"/>
        <v>6.472386</v>
      </c>
      <c r="BB15" s="278">
        <f t="shared" si="16"/>
        <v>0.875686</v>
      </c>
      <c r="BC15" s="196">
        <f>'[3]Part-I'!R15/'[3]Part-I'!O15</f>
        <v>0.2132724346352071</v>
      </c>
      <c r="BD15" s="196">
        <f t="shared" si="5"/>
        <v>0.7286729983476876</v>
      </c>
      <c r="BE15" s="278">
        <f t="shared" si="17"/>
        <v>0.016192576519443502</v>
      </c>
      <c r="BF15" s="196">
        <v>0</v>
      </c>
      <c r="BG15" s="196">
        <v>912</v>
      </c>
      <c r="BH15" s="196">
        <v>41</v>
      </c>
      <c r="BI15" s="196">
        <f t="shared" si="18"/>
        <v>-81</v>
      </c>
      <c r="BJ15" s="196">
        <f t="shared" si="19"/>
        <v>310</v>
      </c>
      <c r="BK15" s="196">
        <f t="shared" si="20"/>
        <v>5</v>
      </c>
    </row>
    <row r="16" spans="1:63" s="196" customFormat="1" ht="26.25" customHeight="1">
      <c r="A16" s="191">
        <v>4</v>
      </c>
      <c r="B16" s="192" t="s">
        <v>26</v>
      </c>
      <c r="C16" s="197">
        <v>50312</v>
      </c>
      <c r="D16" s="193">
        <v>22510</v>
      </c>
      <c r="E16" s="193">
        <v>9773</v>
      </c>
      <c r="F16" s="193">
        <v>18029</v>
      </c>
      <c r="G16" s="159">
        <f t="shared" si="0"/>
        <v>50312</v>
      </c>
      <c r="H16" s="194">
        <v>43746</v>
      </c>
      <c r="I16" s="260"/>
      <c r="J16" s="195">
        <v>43578</v>
      </c>
      <c r="K16" s="194">
        <v>2247</v>
      </c>
      <c r="L16" s="226"/>
      <c r="M16" s="240">
        <v>2.4960499999999994</v>
      </c>
      <c r="N16" s="240">
        <v>0.9735600000000001</v>
      </c>
      <c r="O16" s="240">
        <v>1.7076199999999997</v>
      </c>
      <c r="P16" s="238">
        <f t="shared" si="6"/>
        <v>5.177229999999999</v>
      </c>
      <c r="Q16" s="239">
        <v>2.14741</v>
      </c>
      <c r="R16" s="239">
        <v>0.3560952804144277</v>
      </c>
      <c r="S16" s="194">
        <v>369</v>
      </c>
      <c r="T16" s="195">
        <v>2238</v>
      </c>
      <c r="U16" s="194">
        <v>14</v>
      </c>
      <c r="V16" s="221">
        <f t="shared" si="1"/>
        <v>11.880375418789294</v>
      </c>
      <c r="W16" s="222">
        <f t="shared" si="2"/>
        <v>0.41477971811180886</v>
      </c>
      <c r="X16" s="250">
        <f t="shared" si="3"/>
        <v>0.41477971811180886</v>
      </c>
      <c r="Y16" s="250">
        <f t="shared" si="4"/>
        <v>0.2085330930853631</v>
      </c>
      <c r="Z16" s="196">
        <f>ROUND(X16*'[2]Part-I'!P15,5)</f>
        <v>0.62908</v>
      </c>
      <c r="AA16" s="196">
        <f>ROUND(Y16*'[2]Part-I'!O15,5)</f>
        <v>0.08436</v>
      </c>
      <c r="AB16" s="196">
        <f>'Part-II'!K16/'Part-I'!P16</f>
        <v>105.984779505643</v>
      </c>
      <c r="AC16" s="196">
        <v>102.32922080595732</v>
      </c>
      <c r="AD16" s="196">
        <v>3.8485700000000005</v>
      </c>
      <c r="AL16" s="196">
        <f>'Part-II'!K16/'Part-I'!AC16</f>
        <v>5.3621788153795436</v>
      </c>
      <c r="AM16" s="196">
        <f t="shared" si="7"/>
        <v>1.513608815379543</v>
      </c>
      <c r="AN16" s="196">
        <f>'Part-II'!K16/'Part-I'!AL16</f>
        <v>102.32922080595733</v>
      </c>
      <c r="AO16" s="196">
        <f>'Part-II'!K16/'Part-I'!AC16</f>
        <v>5.3621788153795436</v>
      </c>
      <c r="AP16" s="196">
        <f t="shared" si="8"/>
        <v>0.4821207479675425</v>
      </c>
      <c r="AQ16" s="196">
        <f t="shared" si="9"/>
        <v>0.18804650363225128</v>
      </c>
      <c r="AR16" s="196">
        <f t="shared" si="10"/>
        <v>0.3298327484002063</v>
      </c>
      <c r="AS16" s="196">
        <f t="shared" si="11"/>
        <v>2.58522</v>
      </c>
      <c r="AT16" s="196">
        <f t="shared" si="12"/>
        <v>1.00834</v>
      </c>
      <c r="AU16" s="196">
        <v>1.37998</v>
      </c>
      <c r="AV16" s="278">
        <f t="shared" si="13"/>
        <v>4.97354</v>
      </c>
      <c r="AW16" s="278">
        <v>1.224553</v>
      </c>
      <c r="AX16" s="278">
        <f>'[4]Part-I'!$U$13/'[4]Part-I'!$R$13</f>
        <v>0.2085330930853631</v>
      </c>
      <c r="AY16" s="196">
        <f t="shared" si="14"/>
        <v>0.28777149779593936</v>
      </c>
      <c r="AZ16" s="196">
        <v>0.43691260361183765</v>
      </c>
      <c r="BA16" s="278">
        <f t="shared" si="15"/>
        <v>2.173002310567619</v>
      </c>
      <c r="BB16" s="278">
        <f t="shared" si="16"/>
        <v>0.025592310567619236</v>
      </c>
      <c r="BC16" s="196">
        <f>'[3]Part-I'!R16/'[3]Part-I'!O16</f>
        <v>0.12111119131340421</v>
      </c>
      <c r="BD16" s="196">
        <f t="shared" si="5"/>
        <v>0.20681189251059526</v>
      </c>
      <c r="BE16" s="278">
        <f t="shared" si="17"/>
        <v>-0.14928338790383242</v>
      </c>
      <c r="BF16" s="196">
        <v>8</v>
      </c>
      <c r="BG16" s="196">
        <v>1500</v>
      </c>
      <c r="BH16" s="196">
        <v>41</v>
      </c>
      <c r="BI16" s="196">
        <f t="shared" si="18"/>
        <v>-361</v>
      </c>
      <c r="BJ16" s="196">
        <f t="shared" si="19"/>
        <v>-738</v>
      </c>
      <c r="BK16" s="196">
        <f t="shared" si="20"/>
        <v>27</v>
      </c>
    </row>
    <row r="17" spans="1:63" s="196" customFormat="1" ht="26.25" customHeight="1">
      <c r="A17" s="191">
        <v>5</v>
      </c>
      <c r="B17" s="192" t="s">
        <v>27</v>
      </c>
      <c r="C17" s="197">
        <v>56348</v>
      </c>
      <c r="D17" s="193">
        <v>8386</v>
      </c>
      <c r="E17" s="193">
        <v>31129</v>
      </c>
      <c r="F17" s="193">
        <v>16746</v>
      </c>
      <c r="G17" s="159">
        <f t="shared" si="0"/>
        <v>56261</v>
      </c>
      <c r="H17" s="194">
        <v>28569</v>
      </c>
      <c r="I17" s="260"/>
      <c r="J17" s="195">
        <v>28069</v>
      </c>
      <c r="K17" s="194">
        <v>1430</v>
      </c>
      <c r="L17" s="226"/>
      <c r="M17" s="237">
        <v>1.22846</v>
      </c>
      <c r="N17" s="237">
        <v>3.46778</v>
      </c>
      <c r="O17" s="237">
        <v>2.12823</v>
      </c>
      <c r="P17" s="238">
        <f t="shared" si="6"/>
        <v>6.82447</v>
      </c>
      <c r="Q17" s="239">
        <v>2.82816</v>
      </c>
      <c r="R17" s="239">
        <v>0.4438063846970623</v>
      </c>
      <c r="S17" s="194">
        <v>22</v>
      </c>
      <c r="T17" s="195">
        <v>2689</v>
      </c>
      <c r="U17" s="194">
        <v>25</v>
      </c>
      <c r="V17" s="221">
        <f t="shared" si="1"/>
        <v>24.313192489935517</v>
      </c>
      <c r="W17" s="222">
        <f t="shared" si="2"/>
        <v>0.41441459922895113</v>
      </c>
      <c r="X17" s="250">
        <f t="shared" si="3"/>
        <v>0.41441459922895113</v>
      </c>
      <c r="Y17" s="250">
        <f t="shared" si="4"/>
        <v>0.2085330930853631</v>
      </c>
      <c r="Z17" s="196">
        <f>ROUND(X17*'[2]Part-I'!P16,5)</f>
        <v>0.25512</v>
      </c>
      <c r="AA17" s="196">
        <f>ROUND(Y17*'[2]Part-I'!O16,5)</f>
        <v>0.04575</v>
      </c>
      <c r="AB17" s="196">
        <f>'Part-II'!K17/'Part-I'!P17</f>
        <v>103.370469794724</v>
      </c>
      <c r="AC17" s="196">
        <v>100.78987</v>
      </c>
      <c r="AD17" s="196">
        <v>4.35312</v>
      </c>
      <c r="AL17" s="196">
        <f>'Part-II'!K17/'Part-I'!AC17</f>
        <v>6.999202102354137</v>
      </c>
      <c r="AM17" s="196">
        <f t="shared" si="7"/>
        <v>2.6460821023541374</v>
      </c>
      <c r="AN17" s="196">
        <f>'Part-II'!K17/'Part-I'!AL17</f>
        <v>100.78987</v>
      </c>
      <c r="AO17" s="196">
        <f>'Part-II'!K17/'Part-I'!AC17</f>
        <v>6.999202102354137</v>
      </c>
      <c r="AP17" s="196">
        <f t="shared" si="8"/>
        <v>0.1800081178465141</v>
      </c>
      <c r="AQ17" s="196">
        <f t="shared" si="9"/>
        <v>0.5081390935852894</v>
      </c>
      <c r="AR17" s="196">
        <f t="shared" si="10"/>
        <v>0.3118527885681965</v>
      </c>
      <c r="AS17" s="196">
        <f t="shared" si="11"/>
        <v>1.25991</v>
      </c>
      <c r="AT17" s="196">
        <f t="shared" si="12"/>
        <v>3.55657</v>
      </c>
      <c r="AU17" s="196">
        <v>1.98468</v>
      </c>
      <c r="AV17" s="278">
        <f t="shared" si="13"/>
        <v>6.80116</v>
      </c>
      <c r="AW17" s="278">
        <v>1.49224</v>
      </c>
      <c r="AX17" s="278">
        <f>'[4]Part-I'!$U$13/'[4]Part-I'!$R$13</f>
        <v>0.2085330930853631</v>
      </c>
      <c r="AY17" s="196">
        <f t="shared" si="14"/>
        <v>0.41387145918465845</v>
      </c>
      <c r="AZ17" s="196">
        <v>0.4192021995268186</v>
      </c>
      <c r="BA17" s="278">
        <f t="shared" si="15"/>
        <v>2.8510612313338175</v>
      </c>
      <c r="BB17" s="278">
        <f t="shared" si="16"/>
        <v>0.022901231333817496</v>
      </c>
      <c r="BC17" s="196">
        <f>'[3]Part-I'!R17/'[3]Part-I'!O17</f>
        <v>0.04462622625108655</v>
      </c>
      <c r="BD17" s="196">
        <f t="shared" si="5"/>
        <v>0.09497487349434992</v>
      </c>
      <c r="BE17" s="278">
        <f t="shared" si="17"/>
        <v>-0.3488315112027124</v>
      </c>
      <c r="BF17" s="196">
        <v>0</v>
      </c>
      <c r="BG17" s="196">
        <v>2157</v>
      </c>
      <c r="BH17" s="196">
        <v>17</v>
      </c>
      <c r="BI17" s="196">
        <f t="shared" si="18"/>
        <v>-22</v>
      </c>
      <c r="BJ17" s="196">
        <f t="shared" si="19"/>
        <v>-532</v>
      </c>
      <c r="BK17" s="196">
        <f t="shared" si="20"/>
        <v>-8</v>
      </c>
    </row>
    <row r="18" spans="1:63" s="196" customFormat="1" ht="26.25" customHeight="1">
      <c r="A18" s="191">
        <v>6</v>
      </c>
      <c r="B18" s="192" t="s">
        <v>28</v>
      </c>
      <c r="C18" s="197">
        <v>39869</v>
      </c>
      <c r="D18" s="193">
        <v>15435</v>
      </c>
      <c r="E18" s="193">
        <v>13492</v>
      </c>
      <c r="F18" s="193">
        <v>10021</v>
      </c>
      <c r="G18" s="159">
        <f t="shared" si="0"/>
        <v>38948</v>
      </c>
      <c r="H18" s="194">
        <v>31280</v>
      </c>
      <c r="I18" s="260"/>
      <c r="J18" s="195">
        <v>30243</v>
      </c>
      <c r="K18" s="194">
        <v>917</v>
      </c>
      <c r="L18" s="303"/>
      <c r="M18" s="237">
        <v>2.809708407407407</v>
      </c>
      <c r="N18" s="237">
        <v>1.21456261111111</v>
      </c>
      <c r="O18" s="237">
        <v>3.52932</v>
      </c>
      <c r="P18" s="238">
        <f t="shared" si="6"/>
        <v>7.553591018518517</v>
      </c>
      <c r="Q18" s="239">
        <v>3.7131</v>
      </c>
      <c r="R18" s="239">
        <v>0.7359800160880337</v>
      </c>
      <c r="S18" s="194">
        <v>42</v>
      </c>
      <c r="T18" s="195">
        <v>5126</v>
      </c>
      <c r="U18" s="194">
        <v>278</v>
      </c>
      <c r="V18" s="221">
        <f t="shared" si="1"/>
        <v>24.97632846780583</v>
      </c>
      <c r="W18" s="222">
        <f t="shared" si="2"/>
        <v>0.49156751946152477</v>
      </c>
      <c r="X18" s="250">
        <f t="shared" si="3"/>
        <v>0.49156751946152477</v>
      </c>
      <c r="Y18" s="250">
        <f t="shared" si="4"/>
        <v>0.2085330930853631</v>
      </c>
      <c r="Z18" s="196">
        <f>ROUND(X18*'[2]Part-I'!P17,5)</f>
        <v>1.1791</v>
      </c>
      <c r="AA18" s="196">
        <f>ROUND(Y18*'[2]Part-I'!O17,5)</f>
        <v>0.12505</v>
      </c>
      <c r="AB18" s="196">
        <f>'Part-II'!K18/'Part-I'!P18</f>
        <v>100.43186984047067</v>
      </c>
      <c r="AC18" s="196">
        <v>99.25205</v>
      </c>
      <c r="AD18" s="196">
        <v>7.852868024691358</v>
      </c>
      <c r="AL18" s="196">
        <v>7.852868024691358</v>
      </c>
      <c r="AM18" s="196">
        <f t="shared" si="7"/>
        <v>0</v>
      </c>
      <c r="AN18" s="196">
        <f>'Part-II'!K18/'Part-I'!AL18</f>
        <v>96.60435749266475</v>
      </c>
      <c r="AO18" s="196">
        <v>6.6260112345679</v>
      </c>
      <c r="AP18" s="196">
        <f t="shared" si="8"/>
        <v>0.37196988829803945</v>
      </c>
      <c r="AQ18" s="196">
        <f t="shared" si="9"/>
        <v>0.16079274190692439</v>
      </c>
      <c r="AR18" s="196">
        <f t="shared" si="10"/>
        <v>0.4672373697950361</v>
      </c>
      <c r="AS18" s="196">
        <f t="shared" si="11"/>
        <v>2.92103</v>
      </c>
      <c r="AT18" s="196">
        <f t="shared" si="12"/>
        <v>1.26268</v>
      </c>
      <c r="AU18" s="196">
        <v>3.52932</v>
      </c>
      <c r="AV18" s="278">
        <f t="shared" si="13"/>
        <v>7.71303</v>
      </c>
      <c r="AW18" s="278">
        <v>2.48678</v>
      </c>
      <c r="AX18" s="278">
        <f>'[4]Part-I'!$U$13/'[4]Part-I'!$R$13</f>
        <v>0.2085330930853631</v>
      </c>
      <c r="AY18" s="196">
        <f t="shared" si="14"/>
        <v>0.7359800160880337</v>
      </c>
      <c r="AZ18" s="196">
        <v>0.45</v>
      </c>
      <c r="BA18" s="278">
        <f t="shared" si="15"/>
        <v>3.4708635</v>
      </c>
      <c r="BB18" s="278">
        <f t="shared" si="16"/>
        <v>-0.24223649999999974</v>
      </c>
      <c r="BC18" s="196">
        <f>'[3]Part-I'!R18/'[3]Part-I'!O18</f>
        <v>0.2633503104723366</v>
      </c>
      <c r="BD18" s="196">
        <f t="shared" si="5"/>
        <v>0.9294475177562269</v>
      </c>
      <c r="BE18" s="278">
        <f t="shared" si="17"/>
        <v>0.19346750166819326</v>
      </c>
      <c r="BF18" s="196">
        <v>0</v>
      </c>
      <c r="BG18" s="196">
        <v>5126</v>
      </c>
      <c r="BH18" s="196">
        <v>278</v>
      </c>
      <c r="BI18" s="196">
        <f t="shared" si="18"/>
        <v>-42</v>
      </c>
      <c r="BJ18" s="196">
        <f t="shared" si="19"/>
        <v>0</v>
      </c>
      <c r="BK18" s="196">
        <f t="shared" si="20"/>
        <v>0</v>
      </c>
    </row>
    <row r="19" spans="1:63" s="196" customFormat="1" ht="26.25" customHeight="1">
      <c r="A19" s="191">
        <v>7</v>
      </c>
      <c r="B19" s="192" t="s">
        <v>29</v>
      </c>
      <c r="C19" s="197">
        <v>39294</v>
      </c>
      <c r="D19" s="193">
        <v>7539</v>
      </c>
      <c r="E19" s="193">
        <v>16324</v>
      </c>
      <c r="F19" s="193">
        <v>15431</v>
      </c>
      <c r="G19" s="159">
        <f t="shared" si="0"/>
        <v>39294</v>
      </c>
      <c r="H19" s="194">
        <v>25568</v>
      </c>
      <c r="I19" s="260"/>
      <c r="J19" s="195">
        <v>25568</v>
      </c>
      <c r="K19" s="194">
        <v>694</v>
      </c>
      <c r="L19" s="303"/>
      <c r="M19" s="237">
        <v>1.80055</v>
      </c>
      <c r="N19" s="237">
        <v>3.00788</v>
      </c>
      <c r="O19" s="237">
        <v>2.67489</v>
      </c>
      <c r="P19" s="238">
        <f t="shared" si="6"/>
        <v>7.483320000000001</v>
      </c>
      <c r="Q19" s="239">
        <v>3.57838</v>
      </c>
      <c r="R19" s="239">
        <v>0.557803085363107</v>
      </c>
      <c r="S19" s="194">
        <v>71</v>
      </c>
      <c r="T19" s="195">
        <v>91</v>
      </c>
      <c r="U19" s="194">
        <v>150</v>
      </c>
      <c r="V19" s="221">
        <f t="shared" si="1"/>
        <v>29.268304130162708</v>
      </c>
      <c r="W19" s="222">
        <f t="shared" si="2"/>
        <v>0.4781808074491001</v>
      </c>
      <c r="X19" s="250">
        <f t="shared" si="3"/>
        <v>0.4781808074491001</v>
      </c>
      <c r="Y19" s="250">
        <f t="shared" si="4"/>
        <v>0.20853309308536314</v>
      </c>
      <c r="Z19" s="196">
        <f>ROUND(X19*'[2]Part-I'!P18,5)</f>
        <v>0.33058</v>
      </c>
      <c r="AA19" s="196">
        <f>ROUND(Y19*'[2]Part-I'!O18,5)</f>
        <v>0.04223</v>
      </c>
      <c r="AB19" s="196">
        <f>'Part-II'!K19/'Part-I'!P19</f>
        <v>102.01839023321197</v>
      </c>
      <c r="AC19" s="196">
        <v>100.49439668862637</v>
      </c>
      <c r="AD19" s="196">
        <v>6.08123</v>
      </c>
      <c r="AL19" s="196">
        <v>6.08123</v>
      </c>
      <c r="AM19" s="196">
        <f t="shared" si="7"/>
        <v>0</v>
      </c>
      <c r="AN19" s="196">
        <f>'Part-II'!K19/'Part-I'!AL19</f>
        <v>125.53977731478665</v>
      </c>
      <c r="AO19" s="196">
        <v>4.88015</v>
      </c>
      <c r="AP19" s="196">
        <f t="shared" si="8"/>
        <v>0.24060844651839022</v>
      </c>
      <c r="AQ19" s="196">
        <f t="shared" si="9"/>
        <v>0.4019445914380248</v>
      </c>
      <c r="AR19" s="196">
        <f t="shared" si="10"/>
        <v>0.3574469620435849</v>
      </c>
      <c r="AS19" s="196">
        <f t="shared" si="11"/>
        <v>1.4632</v>
      </c>
      <c r="AT19" s="196">
        <f t="shared" si="12"/>
        <v>2.44432</v>
      </c>
      <c r="AU19" s="196">
        <v>2.469</v>
      </c>
      <c r="AV19" s="278">
        <f t="shared" si="13"/>
        <v>6.376519999999999</v>
      </c>
      <c r="AW19" s="278">
        <v>1.97889</v>
      </c>
      <c r="AX19" s="278">
        <f>'[4]Part-I'!$U$13/'[4]Part-I'!$R$13</f>
        <v>0.2085330930853631</v>
      </c>
      <c r="AY19" s="196">
        <f t="shared" si="14"/>
        <v>0.5148682068277615</v>
      </c>
      <c r="AZ19" s="196">
        <v>0.534417220782148</v>
      </c>
      <c r="BA19" s="278">
        <f t="shared" si="15"/>
        <v>3.4077220966617823</v>
      </c>
      <c r="BB19" s="278">
        <f t="shared" si="16"/>
        <v>-0.17065790333821784</v>
      </c>
      <c r="BC19" s="196">
        <f>'[3]Part-I'!R19/'[3]Part-I'!O19</f>
        <v>0.19582825947158866</v>
      </c>
      <c r="BD19" s="196">
        <f t="shared" si="5"/>
        <v>0.5238190529779578</v>
      </c>
      <c r="BE19" s="278">
        <f t="shared" si="17"/>
        <v>-0.03398403238514913</v>
      </c>
      <c r="BF19" s="196">
        <v>22</v>
      </c>
      <c r="BG19" s="196">
        <v>201</v>
      </c>
      <c r="BH19" s="196">
        <v>127</v>
      </c>
      <c r="BI19" s="196">
        <f t="shared" si="18"/>
        <v>-49</v>
      </c>
      <c r="BJ19" s="196">
        <f t="shared" si="19"/>
        <v>110</v>
      </c>
      <c r="BK19" s="196">
        <f t="shared" si="20"/>
        <v>-23</v>
      </c>
    </row>
    <row r="20" spans="1:63" s="196" customFormat="1" ht="26.25" customHeight="1">
      <c r="A20" s="191">
        <v>8</v>
      </c>
      <c r="B20" s="192" t="s">
        <v>30</v>
      </c>
      <c r="C20" s="197">
        <v>58540</v>
      </c>
      <c r="D20" s="193">
        <v>18394</v>
      </c>
      <c r="E20" s="193">
        <v>20606</v>
      </c>
      <c r="F20" s="193">
        <v>19540</v>
      </c>
      <c r="G20" s="159">
        <f t="shared" si="0"/>
        <v>58540</v>
      </c>
      <c r="H20" s="194">
        <v>20416</v>
      </c>
      <c r="I20" s="260"/>
      <c r="J20" s="195">
        <v>20416</v>
      </c>
      <c r="K20" s="194">
        <v>1339</v>
      </c>
      <c r="L20" s="303"/>
      <c r="M20" s="237">
        <v>1.41665</v>
      </c>
      <c r="N20" s="237">
        <v>1.60019</v>
      </c>
      <c r="O20" s="237">
        <v>2.32112</v>
      </c>
      <c r="P20" s="238">
        <f t="shared" si="6"/>
        <v>5.337960000000001</v>
      </c>
      <c r="Q20" s="239">
        <v>2.6604</v>
      </c>
      <c r="R20" s="239">
        <v>0.48403033302229803</v>
      </c>
      <c r="S20" s="194">
        <v>48</v>
      </c>
      <c r="T20" s="195">
        <v>758</v>
      </c>
      <c r="U20" s="194">
        <v>112</v>
      </c>
      <c r="V20" s="221">
        <f t="shared" si="1"/>
        <v>26.145963949843267</v>
      </c>
      <c r="W20" s="222">
        <f t="shared" si="2"/>
        <v>0.49839264438099945</v>
      </c>
      <c r="X20" s="250">
        <f t="shared" si="3"/>
        <v>0.49839264438099945</v>
      </c>
      <c r="Y20" s="250">
        <f t="shared" si="4"/>
        <v>0.2085330930853631</v>
      </c>
      <c r="Z20" s="196">
        <f>ROUND(X20*'[2]Part-I'!P19,5)</f>
        <v>0.37786</v>
      </c>
      <c r="AA20" s="196">
        <f>ROUND(Y20*'[2]Part-I'!O19,5)</f>
        <v>0.04705</v>
      </c>
      <c r="AB20" s="196">
        <f>'Part-II'!K20/'Part-I'!P20</f>
        <v>127.8569715771568</v>
      </c>
      <c r="AC20" s="196">
        <v>98.1498546390079</v>
      </c>
      <c r="AD20" s="196">
        <v>4.06574</v>
      </c>
      <c r="AL20" s="196">
        <f>'Part-II'!K20/'Part-I'!AC20</f>
        <v>6.953605815415589</v>
      </c>
      <c r="AM20" s="196">
        <f t="shared" si="7"/>
        <v>2.887865815415589</v>
      </c>
      <c r="AN20" s="196">
        <f>'Part-II'!K20/'Part-I'!AL20</f>
        <v>98.1498546390079</v>
      </c>
      <c r="AO20" s="196">
        <f>'Part-II'!K20/'Part-I'!AC20</f>
        <v>6.953605815415589</v>
      </c>
      <c r="AP20" s="196">
        <f t="shared" si="8"/>
        <v>0.26539164774558066</v>
      </c>
      <c r="AQ20" s="196">
        <f t="shared" si="9"/>
        <v>0.29977556969329106</v>
      </c>
      <c r="AR20" s="196">
        <f t="shared" si="10"/>
        <v>0.4348327825611282</v>
      </c>
      <c r="AS20" s="196">
        <f t="shared" si="11"/>
        <v>1.84543</v>
      </c>
      <c r="AT20" s="196">
        <f t="shared" si="12"/>
        <v>2.08452</v>
      </c>
      <c r="AU20" s="196">
        <v>2.32112</v>
      </c>
      <c r="AV20" s="278">
        <f t="shared" si="13"/>
        <v>6.25107</v>
      </c>
      <c r="AW20" s="278">
        <v>1.7092390375043973</v>
      </c>
      <c r="AX20" s="278">
        <f>'[4]Part-I'!$U$13/'[4]Part-I'!$R$13</f>
        <v>0.2085330930853631</v>
      </c>
      <c r="AY20" s="196">
        <f t="shared" si="14"/>
        <v>0.48403033302229803</v>
      </c>
      <c r="AZ20" s="196">
        <v>0.42040047752792786</v>
      </c>
      <c r="BA20" s="278">
        <f t="shared" si="15"/>
        <v>2.6279528130605043</v>
      </c>
      <c r="BB20" s="278">
        <f t="shared" si="16"/>
        <v>-0.032447186939495776</v>
      </c>
      <c r="BC20" s="196">
        <f>'[3]Part-I'!R20/'[3]Part-I'!O20</f>
        <v>0.1840687670817979</v>
      </c>
      <c r="BD20" s="196">
        <f t="shared" si="5"/>
        <v>0.4272456966489028</v>
      </c>
      <c r="BE20" s="278">
        <f t="shared" si="17"/>
        <v>-0.05678463637339526</v>
      </c>
      <c r="BF20" s="196">
        <v>0</v>
      </c>
      <c r="BG20" s="196">
        <v>527</v>
      </c>
      <c r="BH20" s="196">
        <v>71</v>
      </c>
      <c r="BI20" s="196">
        <f t="shared" si="18"/>
        <v>-48</v>
      </c>
      <c r="BJ20" s="196">
        <f t="shared" si="19"/>
        <v>-231</v>
      </c>
      <c r="BK20" s="196">
        <f t="shared" si="20"/>
        <v>-41</v>
      </c>
    </row>
    <row r="21" spans="1:63" s="196" customFormat="1" ht="26.25" customHeight="1">
      <c r="A21" s="191">
        <v>9</v>
      </c>
      <c r="B21" s="269" t="s">
        <v>31</v>
      </c>
      <c r="C21" s="270">
        <v>24986</v>
      </c>
      <c r="D21" s="271">
        <v>5981</v>
      </c>
      <c r="E21" s="271">
        <v>12141</v>
      </c>
      <c r="F21" s="271">
        <v>6675</v>
      </c>
      <c r="G21" s="272">
        <f t="shared" si="0"/>
        <v>24797</v>
      </c>
      <c r="H21" s="273">
        <v>17366</v>
      </c>
      <c r="I21" s="260"/>
      <c r="J21" s="195">
        <v>16068</v>
      </c>
      <c r="K21" s="194">
        <v>53</v>
      </c>
      <c r="L21" s="303"/>
      <c r="M21" s="237">
        <v>0.89817</v>
      </c>
      <c r="N21" s="237">
        <v>1.61138</v>
      </c>
      <c r="O21" s="237">
        <v>0.79364</v>
      </c>
      <c r="P21" s="238">
        <f t="shared" si="6"/>
        <v>3.30319</v>
      </c>
      <c r="Q21" s="239">
        <v>1.56283</v>
      </c>
      <c r="R21" s="239">
        <v>0.16550020399626758</v>
      </c>
      <c r="S21" s="194">
        <v>54</v>
      </c>
      <c r="T21" s="195">
        <v>248</v>
      </c>
      <c r="U21" s="194">
        <v>111</v>
      </c>
      <c r="V21" s="221">
        <f t="shared" si="1"/>
        <v>20.55756783669405</v>
      </c>
      <c r="W21" s="222">
        <f t="shared" si="2"/>
        <v>0.4731274919093361</v>
      </c>
      <c r="X21" s="250">
        <f t="shared" si="3"/>
        <v>0.4731274919093361</v>
      </c>
      <c r="Y21" s="250">
        <f t="shared" si="4"/>
        <v>0.2085330930853631</v>
      </c>
      <c r="Z21" s="196">
        <f>ROUND(X21*'[2]Part-I'!P20,5)</f>
        <v>0.33139</v>
      </c>
      <c r="AA21" s="196">
        <f>ROUND(Y21*'[2]Part-I'!O20,5)</f>
        <v>0.02349</v>
      </c>
      <c r="AB21" s="196">
        <f>'Part-II'!K21/'Part-I'!P21</f>
        <v>100.2123220281001</v>
      </c>
      <c r="AC21" s="196">
        <v>101.0225111062961</v>
      </c>
      <c r="AD21" s="196">
        <v>2.569435</v>
      </c>
      <c r="AL21" s="196">
        <f>'Part-II'!K21/'Part-I'!AC21</f>
        <v>3.2766987909427403</v>
      </c>
      <c r="AM21" s="196">
        <f t="shared" si="7"/>
        <v>0.7072637909427404</v>
      </c>
      <c r="AN21" s="196">
        <f>'Part-II'!K21/'Part-I'!AL21</f>
        <v>101.0225111062961</v>
      </c>
      <c r="AO21" s="196">
        <f>'Part-II'!K21/'Part-I'!AC21</f>
        <v>3.2766987909427403</v>
      </c>
      <c r="AP21" s="196">
        <f t="shared" si="8"/>
        <v>0.27190988105437475</v>
      </c>
      <c r="AQ21" s="196">
        <f t="shared" si="9"/>
        <v>0.487825405138669</v>
      </c>
      <c r="AR21" s="196">
        <f t="shared" si="10"/>
        <v>0.24026471380695633</v>
      </c>
      <c r="AS21" s="196">
        <f t="shared" si="11"/>
        <v>0.89097</v>
      </c>
      <c r="AT21" s="196">
        <f t="shared" si="12"/>
        <v>1.59846</v>
      </c>
      <c r="AU21" s="196">
        <v>0.69247</v>
      </c>
      <c r="AV21" s="278">
        <f t="shared" si="13"/>
        <v>3.1819</v>
      </c>
      <c r="AW21" s="278">
        <v>0.9931318624359006</v>
      </c>
      <c r="AX21" s="278">
        <f>'[4]Part-I'!$U$13/'[4]Part-I'!$R$13</f>
        <v>0.2085330930853631</v>
      </c>
      <c r="AY21" s="196">
        <f t="shared" si="14"/>
        <v>0.1444029109688214</v>
      </c>
      <c r="AZ21" s="196">
        <v>0.522066868712298</v>
      </c>
      <c r="BA21" s="278">
        <f t="shared" si="15"/>
        <v>1.6611645695556612</v>
      </c>
      <c r="BB21" s="278">
        <f t="shared" si="16"/>
        <v>0.09833456955566122</v>
      </c>
      <c r="BC21" s="196">
        <f>'[3]Part-I'!R21/'[3]Part-I'!O21</f>
        <v>0.19180597365443328</v>
      </c>
      <c r="BD21" s="196">
        <f t="shared" si="5"/>
        <v>0.15222489293110442</v>
      </c>
      <c r="BE21" s="278">
        <f t="shared" si="17"/>
        <v>-0.013275311065163165</v>
      </c>
      <c r="BF21" s="196">
        <v>0</v>
      </c>
      <c r="BG21" s="196">
        <v>204</v>
      </c>
      <c r="BH21" s="196">
        <v>94</v>
      </c>
      <c r="BI21" s="196">
        <f t="shared" si="18"/>
        <v>-54</v>
      </c>
      <c r="BJ21" s="196">
        <f t="shared" si="19"/>
        <v>-44</v>
      </c>
      <c r="BK21" s="196">
        <f t="shared" si="20"/>
        <v>-17</v>
      </c>
    </row>
    <row r="22" spans="1:63" s="196" customFormat="1" ht="26.25" customHeight="1">
      <c r="A22" s="258">
        <v>10</v>
      </c>
      <c r="B22" s="192" t="s">
        <v>32</v>
      </c>
      <c r="C22" s="197">
        <v>67180</v>
      </c>
      <c r="D22" s="193">
        <v>49882</v>
      </c>
      <c r="E22" s="193">
        <v>1048</v>
      </c>
      <c r="F22" s="193">
        <v>15956</v>
      </c>
      <c r="G22" s="159">
        <f t="shared" si="0"/>
        <v>66886</v>
      </c>
      <c r="H22" s="194">
        <v>29167</v>
      </c>
      <c r="I22" s="260"/>
      <c r="J22" s="195">
        <v>30482</v>
      </c>
      <c r="K22" s="194">
        <v>4224</v>
      </c>
      <c r="L22" s="226"/>
      <c r="M22" s="237">
        <v>6.03261</v>
      </c>
      <c r="N22" s="237">
        <v>0.14345999999999995</v>
      </c>
      <c r="O22" s="237">
        <v>2.66103</v>
      </c>
      <c r="P22" s="238">
        <f t="shared" si="6"/>
        <v>8.8371</v>
      </c>
      <c r="Q22" s="239">
        <v>4.7949</v>
      </c>
      <c r="R22" s="239">
        <v>0.5549128166929438</v>
      </c>
      <c r="S22" s="194">
        <v>34</v>
      </c>
      <c r="T22" s="195">
        <v>1331</v>
      </c>
      <c r="U22" s="194">
        <v>98</v>
      </c>
      <c r="V22" s="221">
        <f t="shared" si="1"/>
        <v>28.99120792598911</v>
      </c>
      <c r="W22" s="222">
        <f t="shared" si="2"/>
        <v>0.5425875004243474</v>
      </c>
      <c r="X22" s="250">
        <f t="shared" si="3"/>
        <v>0.5425875004243474</v>
      </c>
      <c r="Y22" s="250">
        <f t="shared" si="4"/>
        <v>0.20853309308536314</v>
      </c>
      <c r="Z22" s="196">
        <f>ROUND(X22*'[2]Part-I'!P21,5)</f>
        <v>1.26743</v>
      </c>
      <c r="AA22" s="196">
        <f>ROUND(Y22*'[2]Part-I'!O21,5)</f>
        <v>0.0653</v>
      </c>
      <c r="AB22" s="196">
        <f>'Part-II'!K22/'Part-I'!P22</f>
        <v>89.22856027429813</v>
      </c>
      <c r="AC22" s="196">
        <v>99.25789</v>
      </c>
      <c r="AD22" s="196">
        <v>6.670714800000001</v>
      </c>
      <c r="AL22" s="196">
        <f>'Part-II'!K22/'Part-I'!AC22</f>
        <v>7.944171591799906</v>
      </c>
      <c r="AM22" s="196">
        <f t="shared" si="7"/>
        <v>1.2734567917999051</v>
      </c>
      <c r="AN22" s="196">
        <f>'Part-II'!K22/'Part-I'!AL22</f>
        <v>99.25789</v>
      </c>
      <c r="AO22" s="196">
        <f>'Part-II'!K22/'Part-I'!AC22</f>
        <v>7.944171591799906</v>
      </c>
      <c r="AP22" s="196">
        <f t="shared" si="8"/>
        <v>0.6826458906202262</v>
      </c>
      <c r="AQ22" s="196">
        <f t="shared" si="9"/>
        <v>0.016233832365821363</v>
      </c>
      <c r="AR22" s="196">
        <f t="shared" si="10"/>
        <v>0.30112027701395255</v>
      </c>
      <c r="AS22" s="196">
        <f>ROUND(AP22*$AL22,5)</f>
        <v>5.42306</v>
      </c>
      <c r="AT22" s="196">
        <f t="shared" si="12"/>
        <v>0.12896</v>
      </c>
      <c r="AU22" s="196">
        <v>2.66103</v>
      </c>
      <c r="AV22" s="278">
        <f t="shared" si="13"/>
        <v>8.21305</v>
      </c>
      <c r="AW22" s="278">
        <v>1.7581101627622788</v>
      </c>
      <c r="AX22" s="278">
        <f>'[4]Part-I'!$U$13/'[4]Part-I'!$R$13</f>
        <v>0.2085330930853631</v>
      </c>
      <c r="AY22" s="196">
        <f t="shared" si="14"/>
        <v>0.5549128166929438</v>
      </c>
      <c r="AZ22" s="196">
        <v>0.6580525831598315</v>
      </c>
      <c r="BA22" s="278">
        <f t="shared" si="15"/>
        <v>5.404618768120855</v>
      </c>
      <c r="BB22" s="278">
        <f t="shared" si="16"/>
        <v>0.6097187681208549</v>
      </c>
      <c r="BC22" s="196">
        <f>'[3]Part-I'!R22/'[3]Part-I'!O22</f>
        <v>0.12020160435146027</v>
      </c>
      <c r="BD22" s="196">
        <f t="shared" si="5"/>
        <v>0.3198600752273663</v>
      </c>
      <c r="BE22" s="278">
        <f t="shared" si="17"/>
        <v>-0.23505274146557747</v>
      </c>
      <c r="BF22" s="196">
        <v>5</v>
      </c>
      <c r="BG22" s="196">
        <v>1066</v>
      </c>
      <c r="BH22" s="196">
        <v>73</v>
      </c>
      <c r="BI22" s="196">
        <f t="shared" si="18"/>
        <v>-29</v>
      </c>
      <c r="BJ22" s="196">
        <f t="shared" si="19"/>
        <v>-265</v>
      </c>
      <c r="BK22" s="196">
        <f t="shared" si="20"/>
        <v>-25</v>
      </c>
    </row>
    <row r="23" spans="1:63" s="196" customFormat="1" ht="26.25" customHeight="1">
      <c r="A23" s="258">
        <v>11</v>
      </c>
      <c r="B23" s="192" t="s">
        <v>33</v>
      </c>
      <c r="C23" s="197">
        <v>26331</v>
      </c>
      <c r="D23" s="193">
        <v>3949</v>
      </c>
      <c r="E23" s="193">
        <v>15086</v>
      </c>
      <c r="F23" s="193">
        <v>7296</v>
      </c>
      <c r="G23" s="159">
        <f t="shared" si="0"/>
        <v>26331</v>
      </c>
      <c r="H23" s="194">
        <v>17482</v>
      </c>
      <c r="I23" s="260"/>
      <c r="J23" s="195">
        <v>17482</v>
      </c>
      <c r="K23" s="194">
        <v>245</v>
      </c>
      <c r="L23" s="226"/>
      <c r="M23" s="237">
        <v>0.40112</v>
      </c>
      <c r="N23" s="237">
        <v>1.41698</v>
      </c>
      <c r="O23" s="237">
        <v>0.64245</v>
      </c>
      <c r="P23" s="238">
        <f t="shared" si="6"/>
        <v>2.4605499999999996</v>
      </c>
      <c r="Q23" s="239">
        <v>1.01624</v>
      </c>
      <c r="R23" s="239">
        <v>0.13397208565269153</v>
      </c>
      <c r="S23" s="194">
        <v>9</v>
      </c>
      <c r="T23" s="195">
        <v>161</v>
      </c>
      <c r="U23" s="194">
        <v>5</v>
      </c>
      <c r="V23" s="221">
        <f t="shared" si="1"/>
        <v>14.074762612973343</v>
      </c>
      <c r="W23" s="222">
        <f t="shared" si="2"/>
        <v>0.41301335067363</v>
      </c>
      <c r="X23" s="250"/>
      <c r="Y23" s="250"/>
      <c r="Z23" s="196">
        <f>ROUND(X23*'[2]Part-I'!P22,5)</f>
        <v>0</v>
      </c>
      <c r="AA23" s="196">
        <f>ROUND(Y23*'[2]Part-I'!O22,5)</f>
        <v>0</v>
      </c>
      <c r="AB23" s="196">
        <f>'Part-II'!K23/'Part-I'!P23</f>
        <v>103.15935461583794</v>
      </c>
      <c r="AC23" s="196">
        <v>99.11690671810766</v>
      </c>
      <c r="AD23" s="196">
        <v>1.85544</v>
      </c>
      <c r="AL23" s="196">
        <v>1.85544</v>
      </c>
      <c r="AM23" s="196">
        <f t="shared" si="7"/>
        <v>0</v>
      </c>
      <c r="AN23" s="196">
        <f>'Part-II'!K23/'Part-I'!AL23</f>
        <v>136.80245656016902</v>
      </c>
      <c r="AO23" s="196">
        <v>1.59258</v>
      </c>
      <c r="AP23" s="196">
        <f t="shared" si="8"/>
        <v>0.16302046290463515</v>
      </c>
      <c r="AQ23" s="196">
        <f t="shared" si="9"/>
        <v>0.5758793765621508</v>
      </c>
      <c r="AR23" s="196">
        <f t="shared" si="10"/>
        <v>0.26110016053321417</v>
      </c>
      <c r="AS23" s="196">
        <f t="shared" si="11"/>
        <v>0.30247</v>
      </c>
      <c r="AT23" s="196">
        <f t="shared" si="12"/>
        <v>1.06851</v>
      </c>
      <c r="AU23" s="196">
        <v>0.53757</v>
      </c>
      <c r="AV23" s="278">
        <f t="shared" si="13"/>
        <v>1.90855</v>
      </c>
      <c r="AW23" s="278">
        <v>0.5195297596644837</v>
      </c>
      <c r="AX23" s="278">
        <f>'[4]Part-I'!$U$13/'[4]Part-I'!$R$13</f>
        <v>0.2085330930853631</v>
      </c>
      <c r="AY23" s="196">
        <f t="shared" si="14"/>
        <v>0.11210113484989864</v>
      </c>
      <c r="AZ23" s="196">
        <v>0.34204247196373183</v>
      </c>
      <c r="BA23" s="278">
        <f t="shared" si="15"/>
        <v>0.6528051598663803</v>
      </c>
      <c r="BB23" s="278">
        <f t="shared" si="16"/>
        <v>-0.3634348401336197</v>
      </c>
      <c r="BC23" s="196">
        <f>'[3]Part-I'!R23/'[3]Part-I'!O23</f>
        <v>0.1960001958288456</v>
      </c>
      <c r="BD23" s="196">
        <f t="shared" si="5"/>
        <v>0.12592032581024185</v>
      </c>
      <c r="BE23" s="278">
        <f t="shared" si="17"/>
        <v>-0.008051759842449685</v>
      </c>
      <c r="BF23" s="196">
        <v>0</v>
      </c>
      <c r="BG23" s="196">
        <v>68</v>
      </c>
      <c r="BH23" s="196">
        <v>16</v>
      </c>
      <c r="BI23" s="196">
        <f t="shared" si="18"/>
        <v>-9</v>
      </c>
      <c r="BJ23" s="196">
        <f t="shared" si="19"/>
        <v>-93</v>
      </c>
      <c r="BK23" s="196">
        <f t="shared" si="20"/>
        <v>11</v>
      </c>
    </row>
    <row r="24" spans="1:63" s="196" customFormat="1" ht="26.25" customHeight="1">
      <c r="A24" s="258">
        <v>12</v>
      </c>
      <c r="B24" s="192" t="s">
        <v>34</v>
      </c>
      <c r="C24" s="197">
        <v>51625</v>
      </c>
      <c r="D24" s="193">
        <v>29922</v>
      </c>
      <c r="E24" s="193">
        <v>2727</v>
      </c>
      <c r="F24" s="193">
        <v>18976</v>
      </c>
      <c r="G24" s="159">
        <f t="shared" si="0"/>
        <v>51625</v>
      </c>
      <c r="H24" s="194">
        <v>22657</v>
      </c>
      <c r="I24" s="260"/>
      <c r="J24" s="195">
        <v>22657</v>
      </c>
      <c r="K24" s="194">
        <v>3124</v>
      </c>
      <c r="L24" s="226"/>
      <c r="M24" s="237">
        <v>2.16071</v>
      </c>
      <c r="N24" s="237">
        <v>0.36336</v>
      </c>
      <c r="O24" s="237">
        <v>1.41745</v>
      </c>
      <c r="P24" s="238">
        <f t="shared" si="6"/>
        <v>3.94152</v>
      </c>
      <c r="Q24" s="239">
        <v>1.79931</v>
      </c>
      <c r="R24" s="239">
        <v>0.29558523279384796</v>
      </c>
      <c r="S24" s="194">
        <v>29</v>
      </c>
      <c r="T24" s="195">
        <v>1294</v>
      </c>
      <c r="U24" s="194">
        <v>8</v>
      </c>
      <c r="V24" s="221">
        <f t="shared" si="1"/>
        <v>17.39647790969678</v>
      </c>
      <c r="W24" s="222">
        <f t="shared" si="2"/>
        <v>0.456501552700481</v>
      </c>
      <c r="X24" s="250">
        <f>Q24/P24</f>
        <v>0.456501552700481</v>
      </c>
      <c r="Y24" s="250">
        <f>R24/O24</f>
        <v>0.2085330930853631</v>
      </c>
      <c r="Z24" s="196">
        <f>ROUND(X24*'[2]Part-I'!P23,5)</f>
        <v>0.1761</v>
      </c>
      <c r="AA24" s="196">
        <v>0.09394</v>
      </c>
      <c r="AB24" s="196">
        <f>'Part-II'!K24/'Part-I'!P24</f>
        <v>108.02972711035336</v>
      </c>
      <c r="AC24" s="196">
        <v>100.4488</v>
      </c>
      <c r="AD24" s="196">
        <v>2.6645418</v>
      </c>
      <c r="AF24" s="228"/>
      <c r="AI24" s="229"/>
      <c r="AL24" s="196">
        <f>'Part-II'!K24/'Part-I'!AC24</f>
        <v>4.238988718630785</v>
      </c>
      <c r="AM24" s="196">
        <f t="shared" si="7"/>
        <v>1.5744469186307852</v>
      </c>
      <c r="AN24" s="196">
        <f>'Part-II'!K24/'Part-I'!AL24</f>
        <v>100.4488</v>
      </c>
      <c r="AO24" s="196">
        <f>'Part-II'!K24/'Part-I'!AC24</f>
        <v>4.238988718630785</v>
      </c>
      <c r="AP24" s="196">
        <f t="shared" si="8"/>
        <v>0.5481920680346668</v>
      </c>
      <c r="AQ24" s="196">
        <f t="shared" si="9"/>
        <v>0.09218778542288254</v>
      </c>
      <c r="AR24" s="196">
        <f t="shared" si="10"/>
        <v>0.3596201465424506</v>
      </c>
      <c r="AS24" s="196">
        <f t="shared" si="11"/>
        <v>2.32378</v>
      </c>
      <c r="AT24" s="196">
        <f t="shared" si="12"/>
        <v>0.39078</v>
      </c>
      <c r="AU24" s="196">
        <v>1.41745</v>
      </c>
      <c r="AV24" s="278">
        <f t="shared" si="13"/>
        <v>4.13201</v>
      </c>
      <c r="AW24" s="278">
        <v>0.8793335336249937</v>
      </c>
      <c r="AX24" s="278">
        <f>'[4]Part-I'!$U$13/'[4]Part-I'!$R$13</f>
        <v>0.2085330930853631</v>
      </c>
      <c r="AY24" s="196">
        <f t="shared" si="14"/>
        <v>0.29558523279384796</v>
      </c>
      <c r="AZ24" s="196">
        <v>0.41007418102774484</v>
      </c>
      <c r="BA24" s="278">
        <f t="shared" si="15"/>
        <v>1.694430616748452</v>
      </c>
      <c r="BB24" s="278">
        <f t="shared" si="16"/>
        <v>-0.104879383251548</v>
      </c>
      <c r="BC24" s="196">
        <f>'[3]Part-I'!R24/'[3]Part-I'!O24</f>
        <v>0.47593030124040164</v>
      </c>
      <c r="BD24" s="196">
        <f t="shared" si="5"/>
        <v>0.6746074054932073</v>
      </c>
      <c r="BE24" s="278">
        <f t="shared" si="17"/>
        <v>0.37902217269935934</v>
      </c>
      <c r="BF24" s="196">
        <v>3</v>
      </c>
      <c r="BG24" s="196">
        <v>1012</v>
      </c>
      <c r="BH24" s="196">
        <v>16</v>
      </c>
      <c r="BI24" s="196">
        <f t="shared" si="18"/>
        <v>-26</v>
      </c>
      <c r="BJ24" s="196">
        <f t="shared" si="19"/>
        <v>-282</v>
      </c>
      <c r="BK24" s="196">
        <f t="shared" si="20"/>
        <v>8</v>
      </c>
    </row>
    <row r="25" spans="1:63" s="196" customFormat="1" ht="26.25" customHeight="1">
      <c r="A25" s="258">
        <v>13</v>
      </c>
      <c r="B25" s="192" t="s">
        <v>35</v>
      </c>
      <c r="C25" s="197">
        <v>60195</v>
      </c>
      <c r="D25" s="193">
        <v>37038</v>
      </c>
      <c r="E25" s="193">
        <v>4460</v>
      </c>
      <c r="F25" s="193">
        <v>18697</v>
      </c>
      <c r="G25" s="159">
        <f t="shared" si="0"/>
        <v>60195</v>
      </c>
      <c r="H25" s="194">
        <v>39026</v>
      </c>
      <c r="I25" s="260"/>
      <c r="J25" s="195">
        <v>36962</v>
      </c>
      <c r="K25" s="194">
        <v>7084</v>
      </c>
      <c r="L25" s="226"/>
      <c r="M25" s="237">
        <v>3.59186</v>
      </c>
      <c r="N25" s="237">
        <v>0.27575</v>
      </c>
      <c r="O25" s="237">
        <v>1.64474</v>
      </c>
      <c r="P25" s="238">
        <f t="shared" si="6"/>
        <v>5.51235</v>
      </c>
      <c r="Q25" s="239">
        <v>2.15577</v>
      </c>
      <c r="R25" s="239">
        <v>0.3429827195212201</v>
      </c>
      <c r="S25" s="194">
        <v>56</v>
      </c>
      <c r="T25" s="195">
        <v>1178</v>
      </c>
      <c r="U25" s="194">
        <v>119</v>
      </c>
      <c r="V25" s="221">
        <f t="shared" si="1"/>
        <v>14.913559872301283</v>
      </c>
      <c r="W25" s="222">
        <f t="shared" si="2"/>
        <v>0.3910800293885548</v>
      </c>
      <c r="X25" s="250">
        <f>Q25/P25</f>
        <v>0.3910800293885548</v>
      </c>
      <c r="Y25" s="250">
        <f>R25/O25</f>
        <v>0.20853309308536308</v>
      </c>
      <c r="Z25" s="196">
        <f>ROUND(X25*'[2]Part-I'!P24,5)</f>
        <v>0.08434</v>
      </c>
      <c r="AA25" s="196">
        <v>0.03738</v>
      </c>
      <c r="AB25" s="196">
        <f>'Part-II'!K25/'Part-I'!P25</f>
        <v>114.79268188703547</v>
      </c>
      <c r="AC25" s="196">
        <v>113.51531144472253</v>
      </c>
      <c r="AD25" s="196">
        <v>3.08302</v>
      </c>
      <c r="AL25" s="196">
        <v>3.08302</v>
      </c>
      <c r="AM25" s="196">
        <f t="shared" si="7"/>
        <v>0</v>
      </c>
      <c r="AN25" s="196">
        <f>'Part-II'!K25/'Part-I'!AL25</f>
        <v>205.24597310429382</v>
      </c>
      <c r="AO25" s="196">
        <v>1.94327</v>
      </c>
      <c r="AP25" s="196">
        <f t="shared" si="8"/>
        <v>0.6516023111740002</v>
      </c>
      <c r="AQ25" s="196">
        <f t="shared" si="9"/>
        <v>0.0500240369352454</v>
      </c>
      <c r="AR25" s="196">
        <f t="shared" si="10"/>
        <v>0.29837365189075443</v>
      </c>
      <c r="AS25" s="196">
        <f t="shared" si="11"/>
        <v>2.0089</v>
      </c>
      <c r="AT25" s="196">
        <f t="shared" si="12"/>
        <v>0.15423</v>
      </c>
      <c r="AU25" s="196">
        <v>1.443</v>
      </c>
      <c r="AV25" s="278">
        <f t="shared" si="13"/>
        <v>3.6061300000000003</v>
      </c>
      <c r="AW25" s="278">
        <v>0.5321622038078027</v>
      </c>
      <c r="AX25" s="278">
        <f>'[4]Part-I'!$U$13/'[4]Part-I'!$R$13</f>
        <v>0.2085330930853631</v>
      </c>
      <c r="AY25" s="196">
        <f t="shared" si="14"/>
        <v>0.300913253322179</v>
      </c>
      <c r="AZ25" s="196">
        <v>0.3296711213572998</v>
      </c>
      <c r="BA25" s="278">
        <f t="shared" si="15"/>
        <v>1.1888369208601997</v>
      </c>
      <c r="BB25" s="278">
        <f t="shared" si="16"/>
        <v>-0.9669330791398003</v>
      </c>
      <c r="BC25" s="196">
        <f>'[3]Part-I'!R25/'[3]Part-I'!O25</f>
        <v>0.3038964783909454</v>
      </c>
      <c r="BD25" s="196">
        <f t="shared" si="5"/>
        <v>0.4998306938687236</v>
      </c>
      <c r="BE25" s="278">
        <f t="shared" si="17"/>
        <v>0.15684797434750347</v>
      </c>
      <c r="BF25" s="196">
        <v>1</v>
      </c>
      <c r="BG25" s="196">
        <v>653</v>
      </c>
      <c r="BH25" s="196">
        <v>95</v>
      </c>
      <c r="BI25" s="196">
        <f t="shared" si="18"/>
        <v>-55</v>
      </c>
      <c r="BJ25" s="196">
        <f t="shared" si="19"/>
        <v>-525</v>
      </c>
      <c r="BK25" s="196">
        <f t="shared" si="20"/>
        <v>-24</v>
      </c>
    </row>
    <row r="26" spans="1:38" s="164" customFormat="1" ht="26.25" customHeight="1">
      <c r="A26" s="255"/>
      <c r="B26" s="160" t="s">
        <v>36</v>
      </c>
      <c r="C26" s="160">
        <f aca="true" t="shared" si="21" ref="C26:U26">SUM(C13:C25)</f>
        <v>640211</v>
      </c>
      <c r="D26" s="160">
        <f t="shared" si="21"/>
        <v>278886</v>
      </c>
      <c r="E26" s="160">
        <f t="shared" si="21"/>
        <v>161614</v>
      </c>
      <c r="F26" s="160">
        <f t="shared" si="21"/>
        <v>193960</v>
      </c>
      <c r="G26" s="160">
        <f t="shared" si="21"/>
        <v>634460</v>
      </c>
      <c r="H26" s="160">
        <f t="shared" si="21"/>
        <v>365295</v>
      </c>
      <c r="I26" s="259">
        <f>SUM(I13:I25)</f>
        <v>0</v>
      </c>
      <c r="J26" s="160">
        <f>SUM(J13:J25)</f>
        <v>361543</v>
      </c>
      <c r="K26" s="160">
        <f>SUM(K13:K25)</f>
        <v>30209</v>
      </c>
      <c r="L26" s="225">
        <f>SUM(L13:L25)</f>
        <v>0</v>
      </c>
      <c r="M26" s="161">
        <f t="shared" si="21"/>
        <v>35.540542907407406</v>
      </c>
      <c r="N26" s="161">
        <f t="shared" si="21"/>
        <v>19.093673211111106</v>
      </c>
      <c r="O26" s="161">
        <f t="shared" si="21"/>
        <v>26.22778</v>
      </c>
      <c r="P26" s="161">
        <f t="shared" si="21"/>
        <v>80.86199611851852</v>
      </c>
      <c r="Q26" s="161">
        <f t="shared" si="21"/>
        <v>36.38084</v>
      </c>
      <c r="R26" s="161">
        <f t="shared" si="21"/>
        <v>5.469360088162425</v>
      </c>
      <c r="S26" s="162">
        <f t="shared" si="21"/>
        <v>970</v>
      </c>
      <c r="T26" s="162">
        <f t="shared" si="21"/>
        <v>19304</v>
      </c>
      <c r="U26" s="162">
        <f t="shared" si="21"/>
        <v>2048</v>
      </c>
      <c r="V26" s="224">
        <f t="shared" si="1"/>
        <v>22.36580327057045</v>
      </c>
      <c r="W26" s="223">
        <f t="shared" si="2"/>
        <v>0.4499127123534894</v>
      </c>
      <c r="X26" s="251"/>
      <c r="Y26" s="251"/>
      <c r="Z26" s="251"/>
      <c r="AA26" s="251"/>
      <c r="AB26" s="251"/>
      <c r="AC26" s="196">
        <f>'Part-II'!K26/'Part-I'!P26</f>
        <v>104.69717922361757</v>
      </c>
      <c r="AL26" s="164">
        <f>SUM(AL13:AL25)</f>
        <v>77.48126764232275</v>
      </c>
    </row>
    <row r="27" spans="1:23" s="213" customFormat="1" ht="37.5" customHeight="1">
      <c r="A27" s="274"/>
      <c r="B27" s="305"/>
      <c r="C27" s="305"/>
      <c r="D27" s="306"/>
      <c r="E27" s="306"/>
      <c r="F27" s="306"/>
      <c r="G27" s="306"/>
      <c r="H27" s="307"/>
      <c r="I27" s="307"/>
      <c r="J27" s="296"/>
      <c r="K27" s="274"/>
      <c r="L27" s="214"/>
      <c r="P27" s="215"/>
      <c r="T27" s="213" t="s">
        <v>119</v>
      </c>
      <c r="V27" s="213" t="e">
        <f t="shared" si="1"/>
        <v>#DIV/0!</v>
      </c>
      <c r="W27" s="213" t="e">
        <f t="shared" si="2"/>
        <v>#DIV/0!</v>
      </c>
    </row>
    <row r="28" spans="2:38" s="209" customFormat="1" ht="15.75">
      <c r="B28" s="134"/>
      <c r="C28" s="256"/>
      <c r="D28" s="256"/>
      <c r="E28" s="256"/>
      <c r="F28" s="256"/>
      <c r="G28" s="256"/>
      <c r="H28" s="211"/>
      <c r="I28" s="210"/>
      <c r="J28" s="208"/>
      <c r="L28" s="210"/>
      <c r="M28" s="216"/>
      <c r="N28" s="216"/>
      <c r="O28" s="216"/>
      <c r="P28" s="216"/>
      <c r="Q28" s="208"/>
      <c r="R28" s="233"/>
      <c r="T28" s="208" t="s">
        <v>119</v>
      </c>
      <c r="V28" s="163"/>
      <c r="W28" s="212"/>
      <c r="X28" s="252"/>
      <c r="Y28" s="252"/>
      <c r="Z28" s="252"/>
      <c r="AA28" s="252"/>
      <c r="AB28" s="252"/>
      <c r="AC28" s="209" t="s">
        <v>119</v>
      </c>
      <c r="AL28" s="209" t="s">
        <v>119</v>
      </c>
    </row>
    <row r="29" spans="3:28" ht="13.5" customHeight="1">
      <c r="C29" s="257"/>
      <c r="D29" s="257"/>
      <c r="E29" s="257"/>
      <c r="F29" s="257"/>
      <c r="G29" s="257"/>
      <c r="H29" s="234"/>
      <c r="J29" s="39"/>
      <c r="L29" s="298"/>
      <c r="M29" s="218"/>
      <c r="N29" s="218"/>
      <c r="O29" s="218"/>
      <c r="P29" s="219"/>
      <c r="Q29" s="179"/>
      <c r="R29" s="179"/>
      <c r="S29" s="1" t="s">
        <v>119</v>
      </c>
      <c r="V29" s="163"/>
      <c r="W29" s="189"/>
      <c r="X29" s="253"/>
      <c r="Y29" s="253"/>
      <c r="Z29" s="253"/>
      <c r="AA29" s="253"/>
      <c r="AB29" s="253"/>
    </row>
    <row r="30" spans="3:28" ht="16.5">
      <c r="C30" s="257"/>
      <c r="D30" s="257"/>
      <c r="E30" s="257"/>
      <c r="F30" s="257"/>
      <c r="G30" s="257"/>
      <c r="J30" s="39"/>
      <c r="L30" s="188"/>
      <c r="P30" s="39"/>
      <c r="Q30" s="39"/>
      <c r="R30" s="39"/>
      <c r="V30" s="163"/>
      <c r="W30" s="189"/>
      <c r="X30" s="253"/>
      <c r="Y30" s="253"/>
      <c r="Z30" s="253"/>
      <c r="AA30" s="253"/>
      <c r="AB30" s="253"/>
    </row>
    <row r="31" spans="3:20" ht="14.25" customHeight="1">
      <c r="C31" s="257"/>
      <c r="D31" s="257"/>
      <c r="E31" s="257"/>
      <c r="F31" s="257"/>
      <c r="G31" s="257"/>
      <c r="L31" s="188"/>
      <c r="M31" s="217"/>
      <c r="N31" s="217"/>
      <c r="O31" s="217"/>
      <c r="Q31" s="95" t="s">
        <v>134</v>
      </c>
      <c r="R31" s="95"/>
      <c r="T31" s="1" t="s">
        <v>119</v>
      </c>
    </row>
    <row r="32" spans="13:18" ht="16.5">
      <c r="M32" s="179"/>
      <c r="N32" s="179"/>
      <c r="O32" s="179"/>
      <c r="Q32" s="97" t="s">
        <v>135</v>
      </c>
      <c r="R32" s="97"/>
    </row>
    <row r="33" spans="13:18" ht="16.5">
      <c r="M33" s="27"/>
      <c r="Q33" s="97" t="s">
        <v>115</v>
      </c>
      <c r="R33" s="97"/>
    </row>
    <row r="34" spans="17:18" ht="16.5">
      <c r="Q34" s="99" t="s">
        <v>136</v>
      </c>
      <c r="R34" s="99"/>
    </row>
    <row r="35" spans="17:47" ht="16.5">
      <c r="Q35" s="97" t="s">
        <v>117</v>
      </c>
      <c r="R35" s="97"/>
      <c r="AU35" s="1" t="s">
        <v>119</v>
      </c>
    </row>
  </sheetData>
  <sheetProtection/>
  <mergeCells count="32">
    <mergeCell ref="D8:G8"/>
    <mergeCell ref="D10:G10"/>
    <mergeCell ref="C10:C11"/>
    <mergeCell ref="A10:A11"/>
    <mergeCell ref="B10:B11"/>
    <mergeCell ref="A8:A9"/>
    <mergeCell ref="B8:B9"/>
    <mergeCell ref="H10:H11"/>
    <mergeCell ref="H8:H9"/>
    <mergeCell ref="J10:J11"/>
    <mergeCell ref="J8:J9"/>
    <mergeCell ref="W10:W11"/>
    <mergeCell ref="V10:V11"/>
    <mergeCell ref="M8:Q8"/>
    <mergeCell ref="I10:I11"/>
    <mergeCell ref="I8:I9"/>
    <mergeCell ref="L10:L11"/>
    <mergeCell ref="K10:K11"/>
    <mergeCell ref="K8:K9"/>
    <mergeCell ref="L8:L9"/>
    <mergeCell ref="T7:U7"/>
    <mergeCell ref="S8:S9"/>
    <mergeCell ref="T8:T9"/>
    <mergeCell ref="M10:R10"/>
    <mergeCell ref="U8:U9"/>
    <mergeCell ref="S10:S11"/>
    <mergeCell ref="T10:T11"/>
    <mergeCell ref="U10:U11"/>
    <mergeCell ref="P1:S1"/>
    <mergeCell ref="A2:U2"/>
    <mergeCell ref="A4:U4"/>
    <mergeCell ref="A6:U6"/>
  </mergeCells>
  <conditionalFormatting sqref="W28:AB30 W13:Y26 Z26:AB26">
    <cfRule type="cellIs" priority="1" dxfId="3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5"/>
  <sheetViews>
    <sheetView tabSelected="1" view="pageBreakPreview" zoomScale="70" zoomScaleNormal="70" zoomScaleSheetLayoutView="70" zoomScalePageLayoutView="0" workbookViewId="0" topLeftCell="A1">
      <pane xSplit="2" ySplit="12" topLeftCell="C16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K20" sqref="K20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57421875" style="4" customWidth="1"/>
    <col min="7" max="7" width="8.8515625" style="4" customWidth="1"/>
    <col min="8" max="8" width="12.14062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3.14062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3" width="9.140625" style="4" hidden="1" customWidth="1"/>
    <col min="24" max="24" width="2.421875" style="4" hidden="1" customWidth="1"/>
    <col min="25" max="25" width="12.28125" style="4" customWidth="1"/>
    <col min="26" max="26" width="17.8515625" style="4" customWidth="1"/>
    <col min="27" max="27" width="9.421875" style="4" customWidth="1"/>
    <col min="28" max="28" width="10.28125" style="4" customWidth="1"/>
    <col min="29" max="29" width="10.00390625" style="4" customWidth="1"/>
    <col min="30" max="30" width="9.57421875" style="4" bestFit="1" customWidth="1"/>
    <col min="31" max="31" width="11.140625" style="4" customWidth="1"/>
    <col min="32" max="32" width="9.140625" style="4" customWidth="1"/>
    <col min="33" max="33" width="10.8515625" style="4" customWidth="1"/>
    <col min="34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71" t="s">
        <v>57</v>
      </c>
      <c r="O1" s="371"/>
      <c r="P1" s="371"/>
      <c r="Q1" s="198"/>
    </row>
    <row r="2" spans="1:17" ht="31.5" customHeight="1">
      <c r="A2" s="372" t="s">
        <v>138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01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48" t="s">
        <v>37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199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73" t="s">
        <v>142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200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5" t="s">
        <v>39</v>
      </c>
      <c r="Q8" s="35"/>
    </row>
    <row r="9" spans="1:28" s="13" customFormat="1" ht="58.5" customHeight="1">
      <c r="A9" s="342" t="s">
        <v>0</v>
      </c>
      <c r="B9" s="342" t="s">
        <v>40</v>
      </c>
      <c r="C9" s="342" t="s">
        <v>137</v>
      </c>
      <c r="D9" s="365" t="s">
        <v>41</v>
      </c>
      <c r="E9" s="365"/>
      <c r="F9" s="367" t="s">
        <v>109</v>
      </c>
      <c r="G9" s="368"/>
      <c r="H9" s="342" t="s">
        <v>42</v>
      </c>
      <c r="I9" s="342" t="s">
        <v>43</v>
      </c>
      <c r="J9" s="362" t="s">
        <v>52</v>
      </c>
      <c r="K9" s="361" t="s">
        <v>44</v>
      </c>
      <c r="L9" s="361"/>
      <c r="M9" s="361"/>
      <c r="N9" s="361"/>
      <c r="O9" s="361"/>
      <c r="P9" s="361"/>
      <c r="Q9" s="202"/>
      <c r="AB9" s="13" t="s">
        <v>119</v>
      </c>
    </row>
    <row r="10" spans="1:23" s="13" customFormat="1" ht="46.5" customHeight="1">
      <c r="A10" s="359"/>
      <c r="B10" s="359"/>
      <c r="C10" s="359"/>
      <c r="D10" s="369" t="s">
        <v>45</v>
      </c>
      <c r="E10" s="369" t="s">
        <v>46</v>
      </c>
      <c r="F10" s="369" t="s">
        <v>45</v>
      </c>
      <c r="G10" s="369" t="s">
        <v>46</v>
      </c>
      <c r="H10" s="359"/>
      <c r="I10" s="359"/>
      <c r="J10" s="363"/>
      <c r="K10" s="365" t="s">
        <v>47</v>
      </c>
      <c r="L10" s="365" t="s">
        <v>48</v>
      </c>
      <c r="M10" s="365" t="s">
        <v>49</v>
      </c>
      <c r="N10" s="365" t="s">
        <v>53</v>
      </c>
      <c r="O10" s="366"/>
      <c r="P10" s="366" t="s">
        <v>56</v>
      </c>
      <c r="Q10" s="341" t="s">
        <v>120</v>
      </c>
      <c r="R10" s="341"/>
      <c r="S10" s="341" t="s">
        <v>132</v>
      </c>
      <c r="T10" s="341" t="s">
        <v>133</v>
      </c>
      <c r="U10" s="341" t="s">
        <v>120</v>
      </c>
      <c r="V10" s="341" t="s">
        <v>120</v>
      </c>
      <c r="W10" s="341" t="s">
        <v>120</v>
      </c>
    </row>
    <row r="11" spans="1:23" s="13" customFormat="1" ht="26.25" customHeight="1">
      <c r="A11" s="360"/>
      <c r="B11" s="360"/>
      <c r="C11" s="360"/>
      <c r="D11" s="370"/>
      <c r="E11" s="370"/>
      <c r="F11" s="370"/>
      <c r="G11" s="370"/>
      <c r="H11" s="360"/>
      <c r="I11" s="360"/>
      <c r="J11" s="364"/>
      <c r="K11" s="366"/>
      <c r="L11" s="366"/>
      <c r="M11" s="366"/>
      <c r="N11" s="156" t="s">
        <v>54</v>
      </c>
      <c r="O11" s="156" t="s">
        <v>55</v>
      </c>
      <c r="P11" s="366"/>
      <c r="Q11" s="341"/>
      <c r="R11" s="341"/>
      <c r="S11" s="341"/>
      <c r="T11" s="341"/>
      <c r="U11" s="341"/>
      <c r="V11" s="341"/>
      <c r="W11" s="341"/>
    </row>
    <row r="12" spans="1:23" s="9" customFormat="1" ht="12.75" customHeight="1">
      <c r="A12" s="14"/>
      <c r="B12" s="157">
        <v>1</v>
      </c>
      <c r="C12" s="158">
        <v>2</v>
      </c>
      <c r="D12" s="157">
        <v>3</v>
      </c>
      <c r="E12" s="158">
        <v>4</v>
      </c>
      <c r="F12" s="157">
        <v>5</v>
      </c>
      <c r="G12" s="158">
        <v>6</v>
      </c>
      <c r="H12" s="157">
        <v>7</v>
      </c>
      <c r="I12" s="158">
        <v>8</v>
      </c>
      <c r="J12" s="227">
        <v>9</v>
      </c>
      <c r="K12" s="158">
        <v>10</v>
      </c>
      <c r="L12" s="157">
        <v>11</v>
      </c>
      <c r="M12" s="158">
        <v>12</v>
      </c>
      <c r="N12" s="157">
        <v>13</v>
      </c>
      <c r="O12" s="158">
        <v>14</v>
      </c>
      <c r="P12" s="157">
        <v>15</v>
      </c>
      <c r="Q12" s="341"/>
      <c r="R12" s="341"/>
      <c r="S12" s="341"/>
      <c r="T12" s="341"/>
      <c r="U12" s="341"/>
      <c r="V12" s="341"/>
      <c r="W12" s="341"/>
    </row>
    <row r="13" spans="1:51" s="9" customFormat="1" ht="21.75" customHeight="1">
      <c r="A13" s="262">
        <v>1</v>
      </c>
      <c r="B13" s="263" t="s">
        <v>23</v>
      </c>
      <c r="C13" s="139">
        <v>55.10419569999992</v>
      </c>
      <c r="D13" s="143"/>
      <c r="E13" s="143"/>
      <c r="F13" s="376">
        <v>736.47944</v>
      </c>
      <c r="G13" s="377"/>
      <c r="H13" s="139">
        <v>1.80189</v>
      </c>
      <c r="I13" s="139">
        <f>SUM(C13:H13)</f>
        <v>793.3855256999998</v>
      </c>
      <c r="J13" s="264"/>
      <c r="K13" s="137">
        <v>586.25947</v>
      </c>
      <c r="L13" s="137">
        <v>20.391635</v>
      </c>
      <c r="M13" s="137">
        <v>120.3347</v>
      </c>
      <c r="N13" s="137">
        <v>57.65358</v>
      </c>
      <c r="O13" s="137">
        <v>9.243716</v>
      </c>
      <c r="P13" s="206">
        <f>SUM(K13:O13)</f>
        <v>793.8831009999999</v>
      </c>
      <c r="Q13" s="206">
        <f>I13-P13</f>
        <v>-0.49757530000010775</v>
      </c>
      <c r="R13" s="181">
        <f>K13/'Part-I'!P13</f>
        <v>105.97539935404585</v>
      </c>
      <c r="S13" s="181">
        <v>274.403636</v>
      </c>
      <c r="T13" s="265">
        <f>P13-S13</f>
        <v>519.4794649999999</v>
      </c>
      <c r="U13" s="9">
        <v>61.85</v>
      </c>
      <c r="V13" s="24"/>
      <c r="W13" s="24">
        <f>P13-'[1]Part-II'!P13</f>
        <v>380.9814409999999</v>
      </c>
      <c r="X13" s="24">
        <f>M13-'[1]Part-II'!M13</f>
        <v>72.28071</v>
      </c>
      <c r="Y13" s="24">
        <f>I13-P13</f>
        <v>-0.49757530000010775</v>
      </c>
      <c r="Z13" s="24"/>
      <c r="AA13" s="24">
        <f>K13/'Part-I'!P13</f>
        <v>105.97539935404585</v>
      </c>
      <c r="AB13" s="24">
        <f>P13/$P$26</f>
        <v>0.06438842579289253</v>
      </c>
      <c r="AC13" s="24">
        <f>AB13*$P$31</f>
        <v>599.9219887954227</v>
      </c>
      <c r="AD13" s="24">
        <v>574.458936</v>
      </c>
      <c r="AE13" s="24">
        <v>599.3779151679097</v>
      </c>
      <c r="AF13" s="24">
        <f>AE13-AD13</f>
        <v>24.918979167909697</v>
      </c>
      <c r="AG13" s="24">
        <v>438.041566</v>
      </c>
      <c r="AH13" s="24">
        <f>AE13-AG13</f>
        <v>161.3363491679097</v>
      </c>
      <c r="AI13" s="24">
        <f>K13/$P13</f>
        <v>0.7384707764424375</v>
      </c>
      <c r="AJ13" s="24">
        <f>L13/$P13</f>
        <v>0.02568594163840251</v>
      </c>
      <c r="AK13" s="24">
        <f>M13/$P13</f>
        <v>0.15157735420797175</v>
      </c>
      <c r="AL13" s="24">
        <f>N13/$P13</f>
        <v>0.072622253739093</v>
      </c>
      <c r="AM13" s="24">
        <f>O13/$P13</f>
        <v>0.011643673972095295</v>
      </c>
      <c r="AN13" s="9">
        <f>ROUND($AE13*AI13,5)</f>
        <v>442.62307</v>
      </c>
      <c r="AO13" s="9">
        <f>ROUND($AE13*AJ13,5)</f>
        <v>15.39559</v>
      </c>
      <c r="AP13" s="9">
        <f>ROUND($AE13*AK13,5)</f>
        <v>90.85212</v>
      </c>
      <c r="AQ13" s="9">
        <f>ROUND($AE13*AL13,5)</f>
        <v>43.52818</v>
      </c>
      <c r="AR13" s="9">
        <f>ROUND($AE13*AM13,5)</f>
        <v>6.97896</v>
      </c>
      <c r="AS13" s="283">
        <f>SUM(AN13:AR13)</f>
        <v>599.37792</v>
      </c>
      <c r="AT13" s="24">
        <v>665.5638160000001</v>
      </c>
      <c r="AU13" s="24">
        <f>AT13-P13</f>
        <v>-128.3192849999998</v>
      </c>
      <c r="AV13" s="24"/>
      <c r="AW13" s="24"/>
      <c r="AX13" s="24"/>
      <c r="AY13" s="24"/>
    </row>
    <row r="14" spans="1:51" s="9" customFormat="1" ht="21.75" customHeight="1">
      <c r="A14" s="266">
        <v>2</v>
      </c>
      <c r="B14" s="267" t="s">
        <v>24</v>
      </c>
      <c r="C14" s="143">
        <v>27.142574000000018</v>
      </c>
      <c r="D14" s="143"/>
      <c r="E14" s="143"/>
      <c r="F14" s="376">
        <v>705.50605</v>
      </c>
      <c r="G14" s="377"/>
      <c r="H14" s="143">
        <v>0.74373</v>
      </c>
      <c r="I14" s="139">
        <f aca="true" t="shared" si="0" ref="I14:I25">SUM(C14:H14)</f>
        <v>733.392354</v>
      </c>
      <c r="J14" s="264"/>
      <c r="K14" s="144">
        <v>526.1091</v>
      </c>
      <c r="L14" s="144">
        <v>20.38772</v>
      </c>
      <c r="M14" s="144">
        <v>126.84645</v>
      </c>
      <c r="N14" s="144">
        <v>26.23106</v>
      </c>
      <c r="O14" s="144">
        <v>5.92258</v>
      </c>
      <c r="P14" s="206">
        <f aca="true" t="shared" si="1" ref="P14:P28">SUM(K14:O14)</f>
        <v>705.4969100000001</v>
      </c>
      <c r="Q14" s="206">
        <f aca="true" t="shared" si="2" ref="Q14:Q27">I14-P14</f>
        <v>27.895443999999884</v>
      </c>
      <c r="R14" s="181">
        <f>K14/'Part-I'!P14</f>
        <v>100.58809847903522</v>
      </c>
      <c r="S14" s="181">
        <v>304.41071</v>
      </c>
      <c r="T14" s="265">
        <f aca="true" t="shared" si="3" ref="T14:T25">P14-S14</f>
        <v>401.0862000000001</v>
      </c>
      <c r="U14" s="9">
        <v>36.857749999999996</v>
      </c>
      <c r="V14" s="24"/>
      <c r="W14" s="24">
        <f>P14-'[1]Part-II'!P14</f>
        <v>106.75895000000014</v>
      </c>
      <c r="X14" s="24">
        <f>M14-'[1]Part-II'!M14</f>
        <v>-10.902259999999984</v>
      </c>
      <c r="Y14" s="24">
        <f aca="true" t="shared" si="4" ref="Y14:Y27">I14-P14</f>
        <v>27.895443999999884</v>
      </c>
      <c r="Z14" s="24"/>
      <c r="AA14" s="24">
        <f>K14/'Part-I'!P14</f>
        <v>100.58809847903522</v>
      </c>
      <c r="AB14" s="24">
        <f aca="true" t="shared" si="5" ref="AB14:AB25">P14/$P$26</f>
        <v>0.05721980399813295</v>
      </c>
      <c r="AC14" s="24">
        <v>589.709946527433</v>
      </c>
      <c r="AD14" s="24">
        <v>470.19562</v>
      </c>
      <c r="AE14" s="24">
        <v>589.709946527433</v>
      </c>
      <c r="AF14" s="24">
        <f aca="true" t="shared" si="6" ref="AF14:AF25">AE14-AD14</f>
        <v>119.51432652743296</v>
      </c>
      <c r="AG14" s="24">
        <v>392.23205</v>
      </c>
      <c r="AH14" s="24">
        <f aca="true" t="shared" si="7" ref="AH14:AH25">AE14-AG14</f>
        <v>197.47789652743296</v>
      </c>
      <c r="AI14" s="24">
        <f aca="true" t="shared" si="8" ref="AI14:AI24">K14/P14</f>
        <v>0.7457284256567474</v>
      </c>
      <c r="AJ14" s="24">
        <f aca="true" t="shared" si="9" ref="AJ14:AJ25">L14/$P14</f>
        <v>0.028898383126865858</v>
      </c>
      <c r="AK14" s="24">
        <f aca="true" t="shared" si="10" ref="AK14:AK25">M14/$P14</f>
        <v>0.17979731477491517</v>
      </c>
      <c r="AL14" s="24">
        <f aca="true" t="shared" si="11" ref="AL14:AL25">N14/$P14</f>
        <v>0.03718097078554178</v>
      </c>
      <c r="AM14" s="24">
        <f aca="true" t="shared" si="12" ref="AM14:AM25">O14/$P14</f>
        <v>0.008394905655929803</v>
      </c>
      <c r="AN14" s="9">
        <f aca="true" t="shared" si="13" ref="AN14:AN25">ROUND($AE14*AI14,5)</f>
        <v>439.76347</v>
      </c>
      <c r="AO14" s="9">
        <f aca="true" t="shared" si="14" ref="AO14:AO25">ROUND($AE14*AJ14,5)</f>
        <v>17.04166</v>
      </c>
      <c r="AP14" s="9">
        <f aca="true" t="shared" si="15" ref="AP14:AP25">ROUND($AE14*AK14,5)</f>
        <v>106.02826</v>
      </c>
      <c r="AQ14" s="9">
        <f aca="true" t="shared" si="16" ref="AQ14:AQ25">ROUND($AE14*AL14,5)</f>
        <v>21.92599</v>
      </c>
      <c r="AR14" s="9">
        <f aca="true" t="shared" si="17" ref="AR14:AR25">ROUND($AE14*AM14,5)</f>
        <v>4.95056</v>
      </c>
      <c r="AS14" s="283">
        <f aca="true" t="shared" si="18" ref="AS14:AS25">SUM(AN14:AR14)</f>
        <v>589.70994</v>
      </c>
      <c r="AT14" s="24">
        <v>551.2642800000001</v>
      </c>
      <c r="AU14" s="24">
        <f aca="true" t="shared" si="19" ref="AU14:AU25">AT14-P14</f>
        <v>-154.23262999999997</v>
      </c>
      <c r="AV14" s="24"/>
      <c r="AW14" s="24"/>
      <c r="AX14" s="24"/>
      <c r="AY14" s="24"/>
    </row>
    <row r="15" spans="1:51" s="9" customFormat="1" ht="21.75" customHeight="1">
      <c r="A15" s="262">
        <v>3</v>
      </c>
      <c r="B15" s="263" t="s">
        <v>25</v>
      </c>
      <c r="C15" s="139">
        <v>55.21214909999996</v>
      </c>
      <c r="D15" s="143"/>
      <c r="E15" s="143"/>
      <c r="F15" s="376">
        <v>2343.67629</v>
      </c>
      <c r="G15" s="377"/>
      <c r="H15" s="139">
        <v>3.62446</v>
      </c>
      <c r="I15" s="139">
        <f t="shared" si="0"/>
        <v>2402.5128990999997</v>
      </c>
      <c r="J15" s="264"/>
      <c r="K15" s="137">
        <v>1462.99558</v>
      </c>
      <c r="L15" s="137">
        <v>94.58523</v>
      </c>
      <c r="M15" s="137">
        <v>739.29703</v>
      </c>
      <c r="N15" s="137">
        <v>49.15916</v>
      </c>
      <c r="O15" s="137">
        <v>31.4779</v>
      </c>
      <c r="P15" s="206">
        <f t="shared" si="1"/>
        <v>2377.5149</v>
      </c>
      <c r="Q15" s="206">
        <f t="shared" si="2"/>
        <v>24.99799909999956</v>
      </c>
      <c r="R15" s="181">
        <f>K15/'Part-I'!P15</f>
        <v>107.03527346022015</v>
      </c>
      <c r="S15" s="181">
        <v>959.12689</v>
      </c>
      <c r="T15" s="265">
        <f t="shared" si="3"/>
        <v>1418.3880100000001</v>
      </c>
      <c r="U15" s="9">
        <v>166.16731999999996</v>
      </c>
      <c r="V15" s="24"/>
      <c r="W15" s="24">
        <f>P15-'[1]Part-II'!P15</f>
        <v>1528.0682900000002</v>
      </c>
      <c r="X15" s="24">
        <f>M15-'[1]Part-II'!M15</f>
        <v>566.6511899999999</v>
      </c>
      <c r="Y15" s="24">
        <f t="shared" si="4"/>
        <v>24.99799909999956</v>
      </c>
      <c r="Z15" s="24"/>
      <c r="AA15" s="24">
        <f>K15/'Part-I'!P15</f>
        <v>107.03527346022015</v>
      </c>
      <c r="AB15" s="24">
        <f t="shared" si="5"/>
        <v>0.19282995382735363</v>
      </c>
      <c r="AC15" s="24">
        <v>1879.1267200000002</v>
      </c>
      <c r="AD15" s="24">
        <v>1879.1267200000002</v>
      </c>
      <c r="AE15" s="24">
        <v>1879.1267200000002</v>
      </c>
      <c r="AF15" s="24">
        <f t="shared" si="6"/>
        <v>0</v>
      </c>
      <c r="AG15" s="24">
        <v>1278.7301000000002</v>
      </c>
      <c r="AH15" s="24">
        <f t="shared" si="7"/>
        <v>600.39662</v>
      </c>
      <c r="AI15" s="24">
        <f t="shared" si="8"/>
        <v>0.6153465452519351</v>
      </c>
      <c r="AJ15" s="24">
        <f t="shared" si="9"/>
        <v>0.03978323332484688</v>
      </c>
      <c r="AK15" s="24">
        <f t="shared" si="10"/>
        <v>0.31095368950158836</v>
      </c>
      <c r="AL15" s="24">
        <f t="shared" si="11"/>
        <v>0.020676699018794792</v>
      </c>
      <c r="AM15" s="24">
        <f t="shared" si="12"/>
        <v>0.013239832902834805</v>
      </c>
      <c r="AN15" s="9">
        <f t="shared" si="13"/>
        <v>1156.31414</v>
      </c>
      <c r="AO15" s="9">
        <f t="shared" si="14"/>
        <v>74.75774</v>
      </c>
      <c r="AP15" s="9">
        <f t="shared" si="15"/>
        <v>584.32139</v>
      </c>
      <c r="AQ15" s="9">
        <f t="shared" si="16"/>
        <v>38.85414</v>
      </c>
      <c r="AR15" s="9">
        <f t="shared" si="17"/>
        <v>24.87932</v>
      </c>
      <c r="AS15" s="283">
        <f t="shared" si="18"/>
        <v>1879.12673</v>
      </c>
      <c r="AT15" s="24">
        <v>2107.9662099999996</v>
      </c>
      <c r="AU15" s="24">
        <f t="shared" si="19"/>
        <v>-269.54869000000053</v>
      </c>
      <c r="AV15" s="24"/>
      <c r="AW15" s="24"/>
      <c r="AX15" s="24"/>
      <c r="AY15" s="24"/>
    </row>
    <row r="16" spans="1:51" s="9" customFormat="1" ht="21.75" customHeight="1">
      <c r="A16" s="262">
        <v>4</v>
      </c>
      <c r="B16" s="263" t="s">
        <v>26</v>
      </c>
      <c r="C16" s="139">
        <v>68.19808800000007</v>
      </c>
      <c r="D16" s="143"/>
      <c r="E16" s="143"/>
      <c r="F16" s="376">
        <v>826.40185</v>
      </c>
      <c r="G16" s="377"/>
      <c r="H16" s="139">
        <v>1.9688599999999998</v>
      </c>
      <c r="I16" s="139">
        <f t="shared" si="0"/>
        <v>896.568798</v>
      </c>
      <c r="J16" s="264"/>
      <c r="K16" s="137">
        <v>548.70758</v>
      </c>
      <c r="L16" s="137">
        <v>25.70926</v>
      </c>
      <c r="M16" s="137">
        <v>160.42187</v>
      </c>
      <c r="N16" s="137">
        <v>34.15405</v>
      </c>
      <c r="O16" s="137">
        <v>59.47002</v>
      </c>
      <c r="P16" s="206">
        <f t="shared" si="1"/>
        <v>828.46278</v>
      </c>
      <c r="Q16" s="206">
        <f t="shared" si="2"/>
        <v>68.10601800000006</v>
      </c>
      <c r="R16" s="181">
        <f>K16/'Part-I'!P16</f>
        <v>105.984779505643</v>
      </c>
      <c r="S16" s="181">
        <v>292.43390999999997</v>
      </c>
      <c r="T16" s="265">
        <f t="shared" si="3"/>
        <v>536.02887</v>
      </c>
      <c r="U16" s="9">
        <v>44.84509000000001</v>
      </c>
      <c r="V16" s="24"/>
      <c r="W16" s="24">
        <f>P16-'[1]Part-II'!P16</f>
        <v>508.35536999999994</v>
      </c>
      <c r="X16" s="24">
        <f>M16-'[1]Part-II'!M16</f>
        <v>98.40467000000001</v>
      </c>
      <c r="Y16" s="24">
        <f t="shared" si="4"/>
        <v>68.10601800000006</v>
      </c>
      <c r="Z16" s="24"/>
      <c r="AA16" s="24">
        <f>K16/'Part-I'!P16</f>
        <v>105.984779505643</v>
      </c>
      <c r="AB16" s="24">
        <f t="shared" si="5"/>
        <v>0.06719303404369033</v>
      </c>
      <c r="AC16" s="24">
        <f>AB16*$P$31</f>
        <v>626.0531783514872</v>
      </c>
      <c r="AD16" s="24">
        <v>553.87658</v>
      </c>
      <c r="AE16" s="24">
        <v>608.5869007544946</v>
      </c>
      <c r="AF16" s="24">
        <f t="shared" si="6"/>
        <v>54.71032075449466</v>
      </c>
      <c r="AG16" s="24">
        <v>423.00939</v>
      </c>
      <c r="AH16" s="24">
        <f t="shared" si="7"/>
        <v>185.57751075449465</v>
      </c>
      <c r="AI16" s="24">
        <f t="shared" si="8"/>
        <v>0.6623201346474491</v>
      </c>
      <c r="AJ16" s="24">
        <f t="shared" si="9"/>
        <v>0.031032486456422342</v>
      </c>
      <c r="AK16" s="24">
        <f t="shared" si="10"/>
        <v>0.19363799300675888</v>
      </c>
      <c r="AL16" s="24">
        <f t="shared" si="11"/>
        <v>0.041225811013501416</v>
      </c>
      <c r="AM16" s="24">
        <f t="shared" si="12"/>
        <v>0.0717835748758683</v>
      </c>
      <c r="AN16" s="9">
        <f t="shared" si="13"/>
        <v>403.07936</v>
      </c>
      <c r="AO16" s="9">
        <f t="shared" si="14"/>
        <v>18.88596</v>
      </c>
      <c r="AP16" s="9">
        <f t="shared" si="15"/>
        <v>117.84555</v>
      </c>
      <c r="AQ16" s="9">
        <f t="shared" si="16"/>
        <v>25.08949</v>
      </c>
      <c r="AR16" s="9">
        <f t="shared" si="17"/>
        <v>43.68654</v>
      </c>
      <c r="AS16" s="283">
        <f t="shared" si="18"/>
        <v>608.5869</v>
      </c>
      <c r="AT16" s="24">
        <v>626.3605299999999</v>
      </c>
      <c r="AU16" s="24">
        <f t="shared" si="19"/>
        <v>-202.10225000000003</v>
      </c>
      <c r="AV16" s="24"/>
      <c r="AW16" s="24"/>
      <c r="AX16" s="24"/>
      <c r="AY16" s="24"/>
    </row>
    <row r="17" spans="1:51" s="9" customFormat="1" ht="21.75" customHeight="1">
      <c r="A17" s="262">
        <v>5</v>
      </c>
      <c r="B17" s="263" t="s">
        <v>27</v>
      </c>
      <c r="C17" s="139">
        <v>43.472628600000036</v>
      </c>
      <c r="D17" s="143"/>
      <c r="E17" s="143"/>
      <c r="F17" s="376">
        <v>1046.15378</v>
      </c>
      <c r="G17" s="377"/>
      <c r="H17" s="139">
        <v>3.33286</v>
      </c>
      <c r="I17" s="139">
        <f t="shared" si="0"/>
        <v>1092.9592686</v>
      </c>
      <c r="J17" s="264"/>
      <c r="K17" s="137">
        <v>705.4486700000001</v>
      </c>
      <c r="L17" s="137">
        <v>32.09684</v>
      </c>
      <c r="M17" s="137">
        <v>270.29162</v>
      </c>
      <c r="N17" s="137">
        <v>51.29799</v>
      </c>
      <c r="O17" s="137">
        <v>10.631375</v>
      </c>
      <c r="P17" s="206">
        <f t="shared" si="1"/>
        <v>1069.766495</v>
      </c>
      <c r="Q17" s="206">
        <f t="shared" si="2"/>
        <v>23.19277360000001</v>
      </c>
      <c r="R17" s="181">
        <f>K17/'Part-I'!P17</f>
        <v>103.370469794724</v>
      </c>
      <c r="S17" s="181">
        <v>214.06911</v>
      </c>
      <c r="T17" s="265">
        <f t="shared" si="3"/>
        <v>855.697385</v>
      </c>
      <c r="U17" s="9">
        <v>90.28120000000001</v>
      </c>
      <c r="V17" s="24">
        <v>4.31379</v>
      </c>
      <c r="W17" s="268">
        <f>P17-'[1]Part-II'!P17</f>
        <v>478.2870250000001</v>
      </c>
      <c r="X17" s="24">
        <f>M17-'[1]Part-II'!M17</f>
        <v>111.17259000000001</v>
      </c>
      <c r="Y17" s="24">
        <f t="shared" si="4"/>
        <v>23.19277360000001</v>
      </c>
      <c r="Z17" s="24"/>
      <c r="AA17" s="24">
        <f>K17/'Part-I'!P17</f>
        <v>103.370469794724</v>
      </c>
      <c r="AB17" s="24">
        <f t="shared" si="5"/>
        <v>0.08676413503734505</v>
      </c>
      <c r="AC17" s="24">
        <v>752.64684</v>
      </c>
      <c r="AD17" s="24">
        <v>752.64684</v>
      </c>
      <c r="AE17" s="24">
        <v>752.64684</v>
      </c>
      <c r="AF17" s="24">
        <f t="shared" si="6"/>
        <v>0</v>
      </c>
      <c r="AG17" s="24">
        <v>466.2353</v>
      </c>
      <c r="AH17" s="24">
        <f t="shared" si="7"/>
        <v>286.41154</v>
      </c>
      <c r="AI17" s="24">
        <f t="shared" si="8"/>
        <v>0.6594417317210893</v>
      </c>
      <c r="AJ17" s="24">
        <f t="shared" si="9"/>
        <v>0.030003594382529242</v>
      </c>
      <c r="AK17" s="24">
        <f t="shared" si="10"/>
        <v>0.25266412928739185</v>
      </c>
      <c r="AL17" s="24">
        <f t="shared" si="11"/>
        <v>0.04795251135622825</v>
      </c>
      <c r="AM17" s="24">
        <f t="shared" si="12"/>
        <v>0.009938033252761389</v>
      </c>
      <c r="AN17" s="9">
        <f t="shared" si="13"/>
        <v>496.32674</v>
      </c>
      <c r="AO17" s="9">
        <f t="shared" si="14"/>
        <v>22.58211</v>
      </c>
      <c r="AP17" s="9">
        <f t="shared" si="15"/>
        <v>190.16686</v>
      </c>
      <c r="AQ17" s="9">
        <f t="shared" si="16"/>
        <v>36.09131</v>
      </c>
      <c r="AR17" s="9">
        <f t="shared" si="17"/>
        <v>7.47983</v>
      </c>
      <c r="AS17" s="283">
        <f t="shared" si="18"/>
        <v>752.6468500000001</v>
      </c>
      <c r="AT17" s="24">
        <v>796.3270200000001</v>
      </c>
      <c r="AU17" s="24">
        <f t="shared" si="19"/>
        <v>-273.439475</v>
      </c>
      <c r="AV17" s="24"/>
      <c r="AW17" s="24"/>
      <c r="AX17" s="24"/>
      <c r="AY17" s="24"/>
    </row>
    <row r="18" spans="1:51" s="9" customFormat="1" ht="21.75" customHeight="1">
      <c r="A18" s="262">
        <v>6</v>
      </c>
      <c r="B18" s="263" t="s">
        <v>28</v>
      </c>
      <c r="C18" s="139">
        <v>10.668948700000072</v>
      </c>
      <c r="D18" s="143"/>
      <c r="E18" s="143"/>
      <c r="F18" s="376">
        <v>1232.98017</v>
      </c>
      <c r="G18" s="377"/>
      <c r="H18" s="139">
        <v>2.86688</v>
      </c>
      <c r="I18" s="139">
        <f t="shared" si="0"/>
        <v>1246.5159987000002</v>
      </c>
      <c r="J18" s="264"/>
      <c r="K18" s="137">
        <v>758.62127</v>
      </c>
      <c r="L18" s="137">
        <v>50.32027</v>
      </c>
      <c r="M18" s="137">
        <v>387.29863</v>
      </c>
      <c r="N18" s="137">
        <v>21.8121</v>
      </c>
      <c r="O18" s="137">
        <v>37.01566</v>
      </c>
      <c r="P18" s="206">
        <f t="shared" si="1"/>
        <v>1255.0679300000002</v>
      </c>
      <c r="Q18" s="206">
        <f t="shared" si="2"/>
        <v>-8.551931299999978</v>
      </c>
      <c r="R18" s="181">
        <f>K18/'Part-I'!P18</f>
        <v>100.43186984047067</v>
      </c>
      <c r="S18" s="181">
        <v>530.32122</v>
      </c>
      <c r="T18" s="265">
        <f t="shared" si="3"/>
        <v>724.7467100000001</v>
      </c>
      <c r="U18" s="9">
        <v>81.51</v>
      </c>
      <c r="V18" s="24"/>
      <c r="W18" s="24">
        <f>P18-'[1]Part-II'!P18</f>
        <v>622.6693900000001</v>
      </c>
      <c r="X18" s="24">
        <f>M18-'[1]Part-II'!M18</f>
        <v>211.01805000000002</v>
      </c>
      <c r="Y18" s="24">
        <f t="shared" si="4"/>
        <v>-8.551931299999978</v>
      </c>
      <c r="Z18" s="24"/>
      <c r="AA18" s="24">
        <f>K18/'Part-I'!P18</f>
        <v>100.43186984047067</v>
      </c>
      <c r="AB18" s="24">
        <f t="shared" si="5"/>
        <v>0.10179313323844671</v>
      </c>
      <c r="AC18" s="24">
        <f>AB18*$P$31</f>
        <v>948.4303768281806</v>
      </c>
      <c r="AD18" s="24">
        <v>1046.52871</v>
      </c>
      <c r="AE18" s="24">
        <v>1058.2783904691153</v>
      </c>
      <c r="AF18" s="24">
        <f t="shared" si="6"/>
        <v>11.74968046911522</v>
      </c>
      <c r="AG18" s="24">
        <v>748.41844</v>
      </c>
      <c r="AH18" s="24">
        <f t="shared" si="7"/>
        <v>309.85995046911523</v>
      </c>
      <c r="AI18" s="24">
        <f t="shared" si="8"/>
        <v>0.6044463824360486</v>
      </c>
      <c r="AJ18" s="24">
        <f t="shared" si="9"/>
        <v>0.040093662500005074</v>
      </c>
      <c r="AK18" s="24">
        <f t="shared" si="10"/>
        <v>0.30858778297362754</v>
      </c>
      <c r="AL18" s="24">
        <f t="shared" si="11"/>
        <v>0.01737921866906439</v>
      </c>
      <c r="AM18" s="24">
        <f t="shared" si="12"/>
        <v>0.029492953421254253</v>
      </c>
      <c r="AN18" s="9">
        <f t="shared" si="13"/>
        <v>639.67254</v>
      </c>
      <c r="AO18" s="9">
        <f t="shared" si="14"/>
        <v>42.43026</v>
      </c>
      <c r="AP18" s="9">
        <f t="shared" si="15"/>
        <v>326.57178</v>
      </c>
      <c r="AQ18" s="9">
        <f t="shared" si="16"/>
        <v>18.39205</v>
      </c>
      <c r="AR18" s="9">
        <f t="shared" si="17"/>
        <v>31.21176</v>
      </c>
      <c r="AS18" s="283">
        <f t="shared" si="18"/>
        <v>1058.27839</v>
      </c>
      <c r="AT18" s="24">
        <v>1137.32772</v>
      </c>
      <c r="AU18" s="24">
        <f t="shared" si="19"/>
        <v>-117.74021000000016</v>
      </c>
      <c r="AV18" s="24"/>
      <c r="AW18" s="24"/>
      <c r="AX18" s="24"/>
      <c r="AY18" s="24"/>
    </row>
    <row r="19" spans="1:51" s="9" customFormat="1" ht="21.75" customHeight="1">
      <c r="A19" s="262">
        <v>7</v>
      </c>
      <c r="B19" s="263" t="s">
        <v>29</v>
      </c>
      <c r="C19" s="139">
        <v>21.055714000000016</v>
      </c>
      <c r="D19" s="143"/>
      <c r="E19" s="143"/>
      <c r="F19" s="376">
        <v>1039.07995</v>
      </c>
      <c r="G19" s="377"/>
      <c r="H19" s="139">
        <v>1.47628</v>
      </c>
      <c r="I19" s="139">
        <f t="shared" si="0"/>
        <v>1061.6119440000002</v>
      </c>
      <c r="J19" s="264"/>
      <c r="K19" s="137">
        <v>763.43626</v>
      </c>
      <c r="L19" s="137">
        <v>26.91248</v>
      </c>
      <c r="M19" s="137">
        <v>220.24234</v>
      </c>
      <c r="N19" s="137">
        <v>12.60024</v>
      </c>
      <c r="O19" s="137">
        <v>30.127444</v>
      </c>
      <c r="P19" s="206">
        <f t="shared" si="1"/>
        <v>1053.3187639999999</v>
      </c>
      <c r="Q19" s="206">
        <f t="shared" si="2"/>
        <v>8.293180000000348</v>
      </c>
      <c r="R19" s="181">
        <f>K19/'Part-I'!P19</f>
        <v>102.01839023321197</v>
      </c>
      <c r="S19" s="181">
        <v>325.64736</v>
      </c>
      <c r="T19" s="265">
        <f t="shared" si="3"/>
        <v>727.6714039999999</v>
      </c>
      <c r="U19" s="9">
        <v>84.90853</v>
      </c>
      <c r="V19" s="24"/>
      <c r="W19" s="24">
        <f>P19-'[1]Part-II'!P19</f>
        <v>510.3032039999998</v>
      </c>
      <c r="X19" s="24">
        <f>M19-'[1]Part-II'!M19</f>
        <v>88.31761500000002</v>
      </c>
      <c r="Y19" s="24">
        <f t="shared" si="4"/>
        <v>8.293180000000348</v>
      </c>
      <c r="Z19" s="24"/>
      <c r="AA19" s="24">
        <f>K19/'Part-I'!P19</f>
        <v>102.01839023321197</v>
      </c>
      <c r="AB19" s="24">
        <f t="shared" si="5"/>
        <v>0.08543013069133874</v>
      </c>
      <c r="AC19" s="24">
        <v>840.8678100000001</v>
      </c>
      <c r="AD19" s="24">
        <v>840.8678100000001</v>
      </c>
      <c r="AE19" s="24">
        <v>840.8678100000001</v>
      </c>
      <c r="AF19" s="24">
        <f t="shared" si="6"/>
        <v>0</v>
      </c>
      <c r="AG19" s="24">
        <v>550.8539499999999</v>
      </c>
      <c r="AH19" s="24">
        <f t="shared" si="7"/>
        <v>290.01386000000014</v>
      </c>
      <c r="AI19" s="24">
        <f t="shared" si="8"/>
        <v>0.7247912845498308</v>
      </c>
      <c r="AJ19" s="24">
        <f t="shared" si="9"/>
        <v>0.025550176185791373</v>
      </c>
      <c r="AK19" s="24">
        <f t="shared" si="10"/>
        <v>0.2090937212241669</v>
      </c>
      <c r="AL19" s="24">
        <f t="shared" si="11"/>
        <v>0.011962418624491532</v>
      </c>
      <c r="AM19" s="24">
        <f t="shared" si="12"/>
        <v>0.02860239941571952</v>
      </c>
      <c r="AN19" s="9">
        <f t="shared" si="13"/>
        <v>609.45366</v>
      </c>
      <c r="AO19" s="9">
        <f t="shared" si="14"/>
        <v>21.48432</v>
      </c>
      <c r="AP19" s="9">
        <f t="shared" si="15"/>
        <v>175.82018</v>
      </c>
      <c r="AQ19" s="9">
        <f t="shared" si="16"/>
        <v>10.05881</v>
      </c>
      <c r="AR19" s="9">
        <f t="shared" si="17"/>
        <v>24.05084</v>
      </c>
      <c r="AS19" s="283">
        <f t="shared" si="18"/>
        <v>840.8678100000001</v>
      </c>
      <c r="AT19" s="24">
        <v>934.5582</v>
      </c>
      <c r="AU19" s="24">
        <f t="shared" si="19"/>
        <v>-118.76056399999982</v>
      </c>
      <c r="AV19" s="24"/>
      <c r="AW19" s="24"/>
      <c r="AX19" s="24"/>
      <c r="AY19" s="24"/>
    </row>
    <row r="20" spans="1:51" s="9" customFormat="1" ht="21.75" customHeight="1">
      <c r="A20" s="262">
        <v>8</v>
      </c>
      <c r="B20" s="263" t="s">
        <v>30</v>
      </c>
      <c r="C20" s="139">
        <v>52.44022539999999</v>
      </c>
      <c r="D20" s="143"/>
      <c r="E20" s="143"/>
      <c r="F20" s="376">
        <v>944.17136</v>
      </c>
      <c r="G20" s="377"/>
      <c r="H20" s="139">
        <v>0.8139799999999999</v>
      </c>
      <c r="I20" s="139">
        <f t="shared" si="0"/>
        <v>997.4255654000001</v>
      </c>
      <c r="J20" s="264"/>
      <c r="K20" s="137">
        <f>635.4954+47</f>
        <v>682.4954</v>
      </c>
      <c r="L20" s="137">
        <v>29.167660000000005</v>
      </c>
      <c r="M20" s="137">
        <v>255.91473</v>
      </c>
      <c r="N20" s="137">
        <v>18.23805</v>
      </c>
      <c r="O20" s="137">
        <v>9.667589999999999</v>
      </c>
      <c r="P20" s="206">
        <f t="shared" si="1"/>
        <v>995.48343</v>
      </c>
      <c r="Q20" s="206">
        <f t="shared" si="2"/>
        <v>1.9421354000000974</v>
      </c>
      <c r="R20" s="181">
        <f>K20/'Part-I'!P20</f>
        <v>127.8569715771568</v>
      </c>
      <c r="S20" s="181">
        <v>367.82944</v>
      </c>
      <c r="T20" s="265">
        <f t="shared" si="3"/>
        <v>627.65399</v>
      </c>
      <c r="U20" s="9">
        <v>95.95</v>
      </c>
      <c r="V20" s="24"/>
      <c r="W20" s="24">
        <f>P20-'[1]Part-II'!P20</f>
        <v>594.6975299999999</v>
      </c>
      <c r="X20" s="24">
        <f>M20-'[1]Part-II'!M20</f>
        <v>160.55232999999998</v>
      </c>
      <c r="Y20" s="24">
        <f t="shared" si="4"/>
        <v>1.9421354000000974</v>
      </c>
      <c r="Z20" s="24"/>
      <c r="AA20" s="24">
        <f>K20/'Part-I'!P20</f>
        <v>127.8569715771568</v>
      </c>
      <c r="AB20" s="24">
        <f t="shared" si="5"/>
        <v>0.08073935681446018</v>
      </c>
      <c r="AC20" s="24">
        <v>741.365852251367</v>
      </c>
      <c r="AD20" s="24">
        <v>567.0823700000001</v>
      </c>
      <c r="AE20" s="24">
        <v>741.365852251367</v>
      </c>
      <c r="AF20" s="24">
        <f t="shared" si="6"/>
        <v>174.28348225136688</v>
      </c>
      <c r="AG20" s="24">
        <v>567.0823700000001</v>
      </c>
      <c r="AH20" s="24">
        <f t="shared" si="7"/>
        <v>174.28348225136688</v>
      </c>
      <c r="AI20" s="24">
        <f t="shared" si="8"/>
        <v>0.6855919239158004</v>
      </c>
      <c r="AJ20" s="24">
        <f t="shared" si="9"/>
        <v>0.029299995480587763</v>
      </c>
      <c r="AK20" s="24">
        <f t="shared" si="10"/>
        <v>0.2570758309859562</v>
      </c>
      <c r="AL20" s="24">
        <f t="shared" si="11"/>
        <v>0.018320797162841778</v>
      </c>
      <c r="AM20" s="24">
        <f t="shared" si="12"/>
        <v>0.009711452454813837</v>
      </c>
      <c r="AN20" s="9">
        <f t="shared" si="13"/>
        <v>508.27444</v>
      </c>
      <c r="AO20" s="9">
        <f t="shared" si="14"/>
        <v>21.72202</v>
      </c>
      <c r="AP20" s="9">
        <f t="shared" si="15"/>
        <v>190.58724</v>
      </c>
      <c r="AQ20" s="9">
        <f t="shared" si="16"/>
        <v>13.58241</v>
      </c>
      <c r="AR20" s="9">
        <f t="shared" si="17"/>
        <v>7.19974</v>
      </c>
      <c r="AS20" s="283">
        <f t="shared" si="18"/>
        <v>741.3658500000001</v>
      </c>
      <c r="AT20" s="24">
        <v>803.72252</v>
      </c>
      <c r="AU20" s="24">
        <f t="shared" si="19"/>
        <v>-191.76090999999997</v>
      </c>
      <c r="AV20" s="24"/>
      <c r="AW20" s="24"/>
      <c r="AX20" s="24"/>
      <c r="AY20" s="24"/>
    </row>
    <row r="21" spans="1:51" s="9" customFormat="1" ht="21.75" customHeight="1">
      <c r="A21" s="262">
        <v>9</v>
      </c>
      <c r="B21" s="263" t="s">
        <v>31</v>
      </c>
      <c r="C21" s="139">
        <v>19.63769990000008</v>
      </c>
      <c r="D21" s="143"/>
      <c r="E21" s="143"/>
      <c r="F21" s="376">
        <v>423.63618</v>
      </c>
      <c r="G21" s="377"/>
      <c r="H21" s="139">
        <v>1.31595</v>
      </c>
      <c r="I21" s="139">
        <f t="shared" si="0"/>
        <v>444.5898299000001</v>
      </c>
      <c r="J21" s="264"/>
      <c r="K21" s="137">
        <v>331.02034</v>
      </c>
      <c r="L21" s="137">
        <v>17.92742</v>
      </c>
      <c r="M21" s="137">
        <v>62.82558</v>
      </c>
      <c r="N21" s="137">
        <v>4.03751</v>
      </c>
      <c r="O21" s="137">
        <v>7.96408</v>
      </c>
      <c r="P21" s="206">
        <f t="shared" si="1"/>
        <v>423.77493</v>
      </c>
      <c r="Q21" s="206">
        <f t="shared" si="2"/>
        <v>20.814899900000114</v>
      </c>
      <c r="R21" s="181">
        <f>K21/'Part-I'!P21</f>
        <v>100.2123220281001</v>
      </c>
      <c r="S21" s="181">
        <v>147.30015999999998</v>
      </c>
      <c r="T21" s="265">
        <f t="shared" si="3"/>
        <v>276.47477000000003</v>
      </c>
      <c r="U21" s="9">
        <v>83.854181</v>
      </c>
      <c r="V21" s="24"/>
      <c r="W21" s="24">
        <f>P21-'[1]Part-II'!P21</f>
        <v>200.39915999999997</v>
      </c>
      <c r="X21" s="24">
        <f>M21-'[1]Part-II'!M21</f>
        <v>50.884660000000004</v>
      </c>
      <c r="Y21" s="24">
        <f t="shared" si="4"/>
        <v>20.814899900000114</v>
      </c>
      <c r="Z21" s="24"/>
      <c r="AA21" s="24">
        <f>K21/'Part-I'!P21</f>
        <v>100.2123220281001</v>
      </c>
      <c r="AB21" s="24">
        <f t="shared" si="5"/>
        <v>0.03437055228763866</v>
      </c>
      <c r="AC21" s="24">
        <v>328.68906499999997</v>
      </c>
      <c r="AD21" s="24">
        <v>328.68906499999997</v>
      </c>
      <c r="AE21" s="24">
        <v>328.68906499999997</v>
      </c>
      <c r="AF21" s="24">
        <f t="shared" si="6"/>
        <v>0</v>
      </c>
      <c r="AG21" s="24">
        <v>234.02518999999998</v>
      </c>
      <c r="AH21" s="24">
        <f t="shared" si="7"/>
        <v>94.66387499999999</v>
      </c>
      <c r="AI21" s="24">
        <f t="shared" si="8"/>
        <v>0.7811229890357129</v>
      </c>
      <c r="AJ21" s="24">
        <f t="shared" si="9"/>
        <v>0.042304107040971026</v>
      </c>
      <c r="AK21" s="24">
        <f t="shared" si="10"/>
        <v>0.14825223379778507</v>
      </c>
      <c r="AL21" s="24">
        <f>N21/$P21</f>
        <v>0.00952748667789291</v>
      </c>
      <c r="AM21" s="24">
        <f t="shared" si="12"/>
        <v>0.018793183447638116</v>
      </c>
      <c r="AN21" s="9">
        <f t="shared" si="13"/>
        <v>256.74658</v>
      </c>
      <c r="AO21" s="9">
        <f t="shared" si="14"/>
        <v>13.9049</v>
      </c>
      <c r="AP21" s="9">
        <f t="shared" si="15"/>
        <v>48.72889</v>
      </c>
      <c r="AQ21" s="9">
        <f t="shared" si="16"/>
        <v>3.13158</v>
      </c>
      <c r="AR21" s="9">
        <f t="shared" si="17"/>
        <v>6.17711</v>
      </c>
      <c r="AS21" s="283">
        <f t="shared" si="18"/>
        <v>328.68906</v>
      </c>
      <c r="AT21" s="24">
        <v>372.622465</v>
      </c>
      <c r="AU21" s="24">
        <f t="shared" si="19"/>
        <v>-51.15246500000001</v>
      </c>
      <c r="AV21" s="24"/>
      <c r="AW21" s="24"/>
      <c r="AX21" s="24"/>
      <c r="AY21" s="24"/>
    </row>
    <row r="22" spans="1:51" s="9" customFormat="1" ht="21.75" customHeight="1">
      <c r="A22" s="262">
        <v>10</v>
      </c>
      <c r="B22" s="263" t="s">
        <v>32</v>
      </c>
      <c r="C22" s="139">
        <v>90.76816619999994</v>
      </c>
      <c r="D22" s="143"/>
      <c r="E22" s="143"/>
      <c r="F22" s="376">
        <v>1153.85648</v>
      </c>
      <c r="G22" s="377"/>
      <c r="H22" s="139">
        <v>2.1509</v>
      </c>
      <c r="I22" s="139">
        <f t="shared" si="0"/>
        <v>1246.7755462</v>
      </c>
      <c r="J22" s="264"/>
      <c r="K22" s="137">
        <v>788.52171</v>
      </c>
      <c r="L22" s="137">
        <v>27.44064</v>
      </c>
      <c r="M22" s="137">
        <v>223.36893</v>
      </c>
      <c r="N22" s="137">
        <v>11.38632</v>
      </c>
      <c r="O22" s="137">
        <v>13.4287</v>
      </c>
      <c r="P22" s="206">
        <f t="shared" si="1"/>
        <v>1064.1463</v>
      </c>
      <c r="Q22" s="206">
        <f t="shared" si="2"/>
        <v>182.6292461999999</v>
      </c>
      <c r="R22" s="181">
        <f>K22/'Part-I'!P22</f>
        <v>89.22856027429813</v>
      </c>
      <c r="S22" s="181">
        <v>266.27575</v>
      </c>
      <c r="T22" s="265">
        <f t="shared" si="3"/>
        <v>797.8705500000001</v>
      </c>
      <c r="U22" s="9">
        <v>80.17361999999999</v>
      </c>
      <c r="V22" s="24"/>
      <c r="W22" s="24">
        <f>P22-'[1]Part-II'!P22</f>
        <v>509.4120700000001</v>
      </c>
      <c r="X22" s="24">
        <f>M22-'[1]Part-II'!M22</f>
        <v>76.26982000000001</v>
      </c>
      <c r="Y22" s="24">
        <f t="shared" si="4"/>
        <v>182.6292461999999</v>
      </c>
      <c r="Z22" s="24"/>
      <c r="AA22" s="24">
        <f>K22/'Part-I'!P22</f>
        <v>89.22856027429813</v>
      </c>
      <c r="AB22" s="24">
        <f t="shared" si="5"/>
        <v>0.08630830532105149</v>
      </c>
      <c r="AC22" s="24">
        <f>AB22*$P$31</f>
        <v>804.1546215823665</v>
      </c>
      <c r="AD22" s="24">
        <v>850.1292299999999</v>
      </c>
      <c r="AE22" s="24">
        <v>874.550328466236</v>
      </c>
      <c r="AF22" s="24">
        <f t="shared" si="6"/>
        <v>24.421098466236117</v>
      </c>
      <c r="AG22" s="24">
        <v>620.1450199999999</v>
      </c>
      <c r="AH22" s="24">
        <f t="shared" si="7"/>
        <v>254.40530846623608</v>
      </c>
      <c r="AI22" s="24">
        <f t="shared" si="8"/>
        <v>0.7409899465891108</v>
      </c>
      <c r="AJ22" s="24">
        <f t="shared" si="9"/>
        <v>0.02578652954015815</v>
      </c>
      <c r="AK22" s="24">
        <f t="shared" si="10"/>
        <v>0.20990434304005</v>
      </c>
      <c r="AL22" s="24">
        <f t="shared" si="11"/>
        <v>0.010699957327296067</v>
      </c>
      <c r="AM22" s="24">
        <f t="shared" si="12"/>
        <v>0.012619223503384824</v>
      </c>
      <c r="AN22" s="9">
        <f t="shared" si="13"/>
        <v>648.033</v>
      </c>
      <c r="AO22" s="9">
        <f t="shared" si="14"/>
        <v>22.55162</v>
      </c>
      <c r="AP22" s="9">
        <f t="shared" si="15"/>
        <v>183.57191</v>
      </c>
      <c r="AQ22" s="9">
        <f t="shared" si="16"/>
        <v>9.35765</v>
      </c>
      <c r="AR22" s="9">
        <f t="shared" si="17"/>
        <v>11.03615</v>
      </c>
      <c r="AS22" s="283">
        <f t="shared" si="18"/>
        <v>874.55033</v>
      </c>
      <c r="AT22" s="24">
        <v>920.1095200000001</v>
      </c>
      <c r="AU22" s="24">
        <f t="shared" si="19"/>
        <v>-144.03678000000002</v>
      </c>
      <c r="AV22" s="24"/>
      <c r="AW22" s="24"/>
      <c r="AX22" s="24"/>
      <c r="AY22" s="24"/>
    </row>
    <row r="23" spans="1:51" s="9" customFormat="1" ht="21.75" customHeight="1">
      <c r="A23" s="262">
        <v>11</v>
      </c>
      <c r="B23" s="263" t="s">
        <v>33</v>
      </c>
      <c r="C23" s="139">
        <v>10.260448999999966</v>
      </c>
      <c r="D23" s="143"/>
      <c r="E23" s="143"/>
      <c r="F23" s="376">
        <v>359.43571</v>
      </c>
      <c r="G23" s="377"/>
      <c r="H23" s="139">
        <v>0.26416</v>
      </c>
      <c r="I23" s="139">
        <f t="shared" si="0"/>
        <v>369.96031899999997</v>
      </c>
      <c r="J23" s="264"/>
      <c r="K23" s="137">
        <v>253.82875</v>
      </c>
      <c r="L23" s="137">
        <v>13.25389</v>
      </c>
      <c r="M23" s="137">
        <v>67.84564</v>
      </c>
      <c r="N23" s="137">
        <v>12.20164</v>
      </c>
      <c r="O23" s="137">
        <v>3.58667</v>
      </c>
      <c r="P23" s="206">
        <f t="shared" si="1"/>
        <v>350.71659000000005</v>
      </c>
      <c r="Q23" s="206">
        <f t="shared" si="2"/>
        <v>19.243728999999917</v>
      </c>
      <c r="R23" s="181">
        <f>K23/'Part-I'!P23</f>
        <v>103.15935461583794</v>
      </c>
      <c r="S23" s="181">
        <v>73.37846</v>
      </c>
      <c r="T23" s="265">
        <f t="shared" si="3"/>
        <v>277.33813000000004</v>
      </c>
      <c r="U23" s="9">
        <v>29.66637</v>
      </c>
      <c r="V23" s="24"/>
      <c r="W23" s="24">
        <f>P23-'[1]Part-II'!P23</f>
        <v>90.86073000000005</v>
      </c>
      <c r="X23" s="24">
        <f>M23-'[1]Part-II'!M23</f>
        <v>32.12876</v>
      </c>
      <c r="Y23" s="24">
        <f t="shared" si="4"/>
        <v>19.243728999999917</v>
      </c>
      <c r="Z23" s="24"/>
      <c r="AA23" s="24">
        <f>K23/'Part-I'!P23</f>
        <v>103.15935461583794</v>
      </c>
      <c r="AB23" s="24">
        <f t="shared" si="5"/>
        <v>0.028445106214134312</v>
      </c>
      <c r="AC23" s="24">
        <v>271.47752</v>
      </c>
      <c r="AD23" s="24">
        <v>271.47752</v>
      </c>
      <c r="AE23" s="24">
        <v>271.47752</v>
      </c>
      <c r="AF23" s="24">
        <f t="shared" si="6"/>
        <v>0</v>
      </c>
      <c r="AG23" s="24">
        <v>170.47153</v>
      </c>
      <c r="AH23" s="24">
        <f t="shared" si="7"/>
        <v>101.00599000000003</v>
      </c>
      <c r="AI23" s="24">
        <f t="shared" si="8"/>
        <v>0.7237432081556221</v>
      </c>
      <c r="AJ23" s="24">
        <f t="shared" si="9"/>
        <v>0.037790884086777866</v>
      </c>
      <c r="AK23" s="24">
        <f t="shared" si="10"/>
        <v>0.19344861901172108</v>
      </c>
      <c r="AL23" s="24">
        <f t="shared" si="11"/>
        <v>0.034790598300468184</v>
      </c>
      <c r="AM23" s="24">
        <f t="shared" si="12"/>
        <v>0.010226690445410636</v>
      </c>
      <c r="AN23" s="9">
        <f t="shared" si="13"/>
        <v>196.48001</v>
      </c>
      <c r="AO23" s="9">
        <f t="shared" si="14"/>
        <v>10.25938</v>
      </c>
      <c r="AP23" s="9">
        <f t="shared" si="15"/>
        <v>52.51695</v>
      </c>
      <c r="AQ23" s="9">
        <f t="shared" si="16"/>
        <v>9.44487</v>
      </c>
      <c r="AR23" s="9">
        <f t="shared" si="17"/>
        <v>2.77632</v>
      </c>
      <c r="AS23" s="283">
        <f t="shared" si="18"/>
        <v>271.47752999999994</v>
      </c>
      <c r="AT23" s="24">
        <v>290.06962</v>
      </c>
      <c r="AU23" s="24">
        <f t="shared" si="19"/>
        <v>-60.64697000000007</v>
      </c>
      <c r="AV23" s="24"/>
      <c r="AW23" s="24"/>
      <c r="AX23" s="24"/>
      <c r="AY23" s="24"/>
    </row>
    <row r="24" spans="1:51" s="9" customFormat="1" ht="21.75" customHeight="1">
      <c r="A24" s="262">
        <v>12</v>
      </c>
      <c r="B24" s="263" t="s">
        <v>34</v>
      </c>
      <c r="C24" s="139">
        <v>15.641735899999997</v>
      </c>
      <c r="D24" s="143"/>
      <c r="E24" s="143"/>
      <c r="F24" s="376">
        <v>579.18457</v>
      </c>
      <c r="G24" s="377"/>
      <c r="H24" s="139">
        <v>2.18039</v>
      </c>
      <c r="I24" s="139">
        <f t="shared" si="0"/>
        <v>597.0066959</v>
      </c>
      <c r="J24" s="264"/>
      <c r="K24" s="137">
        <v>425.80133</v>
      </c>
      <c r="L24" s="137">
        <v>17.05129</v>
      </c>
      <c r="M24" s="137">
        <v>87.81639</v>
      </c>
      <c r="N24" s="137">
        <v>10.055715</v>
      </c>
      <c r="O24" s="137">
        <v>5.85543</v>
      </c>
      <c r="P24" s="206">
        <f t="shared" si="1"/>
        <v>546.5801549999999</v>
      </c>
      <c r="Q24" s="206">
        <f t="shared" si="2"/>
        <v>50.42654090000008</v>
      </c>
      <c r="R24" s="181">
        <f>K24/'Part-I'!P24</f>
        <v>108.02972711035336</v>
      </c>
      <c r="S24" s="181">
        <v>158.22349</v>
      </c>
      <c r="T24" s="265">
        <f t="shared" si="3"/>
        <v>388.3566649999999</v>
      </c>
      <c r="U24" s="9">
        <v>52.48554</v>
      </c>
      <c r="V24" s="24"/>
      <c r="W24" s="24">
        <f>P24-'[1]Part-II'!P24</f>
        <v>322.40491499999985</v>
      </c>
      <c r="X24" s="24">
        <f>M24-'[1]Part-II'!M24</f>
        <v>46.826254999999996</v>
      </c>
      <c r="Y24" s="24">
        <f t="shared" si="4"/>
        <v>50.42654090000008</v>
      </c>
      <c r="Z24" s="24"/>
      <c r="AA24" s="24">
        <f>K24/'Part-I'!P24</f>
        <v>108.02972711035336</v>
      </c>
      <c r="AB24" s="24">
        <f t="shared" si="5"/>
        <v>0.04433075311183024</v>
      </c>
      <c r="AC24" s="24">
        <v>359.262905</v>
      </c>
      <c r="AD24" s="24">
        <v>359.262905</v>
      </c>
      <c r="AE24" s="24">
        <v>359.262905</v>
      </c>
      <c r="AF24" s="24">
        <f t="shared" si="6"/>
        <v>0</v>
      </c>
      <c r="AG24" s="24">
        <v>250.209785</v>
      </c>
      <c r="AH24" s="24">
        <f t="shared" si="7"/>
        <v>109.05311999999998</v>
      </c>
      <c r="AI24" s="24">
        <f t="shared" si="8"/>
        <v>0.7790281555319185</v>
      </c>
      <c r="AJ24" s="24">
        <f t="shared" si="9"/>
        <v>0.031196321059259836</v>
      </c>
      <c r="AK24" s="24">
        <f t="shared" si="10"/>
        <v>0.16066516355684377</v>
      </c>
      <c r="AL24" s="24">
        <f t="shared" si="11"/>
        <v>0.01839751207213149</v>
      </c>
      <c r="AM24" s="24">
        <f t="shared" si="12"/>
        <v>0.010712847779846674</v>
      </c>
      <c r="AN24" s="9">
        <f t="shared" si="13"/>
        <v>279.87592</v>
      </c>
      <c r="AO24" s="9">
        <f t="shared" si="14"/>
        <v>11.20768</v>
      </c>
      <c r="AP24" s="9">
        <f t="shared" si="15"/>
        <v>57.72103</v>
      </c>
      <c r="AQ24" s="9">
        <f t="shared" si="16"/>
        <v>6.60954</v>
      </c>
      <c r="AR24" s="9">
        <f t="shared" si="17"/>
        <v>3.84873</v>
      </c>
      <c r="AS24" s="283">
        <f t="shared" si="18"/>
        <v>359.26289999999995</v>
      </c>
      <c r="AT24" s="24">
        <v>431.023265</v>
      </c>
      <c r="AU24" s="24">
        <f t="shared" si="19"/>
        <v>-115.5568899999999</v>
      </c>
      <c r="AV24" s="24"/>
      <c r="AW24" s="24"/>
      <c r="AX24" s="24"/>
      <c r="AY24" s="24"/>
    </row>
    <row r="25" spans="1:51" s="9" customFormat="1" ht="21.75" customHeight="1">
      <c r="A25" s="262">
        <v>13</v>
      </c>
      <c r="B25" s="263" t="s">
        <v>35</v>
      </c>
      <c r="C25" s="139">
        <v>36.488015200000085</v>
      </c>
      <c r="D25" s="143"/>
      <c r="E25" s="143"/>
      <c r="F25" s="376">
        <v>793.80174</v>
      </c>
      <c r="G25" s="377"/>
      <c r="H25" s="139">
        <v>2.18994</v>
      </c>
      <c r="I25" s="139">
        <f t="shared" si="0"/>
        <v>832.4796952</v>
      </c>
      <c r="J25" s="264"/>
      <c r="K25" s="137">
        <v>632.77744</v>
      </c>
      <c r="L25" s="137">
        <v>26.52569</v>
      </c>
      <c r="M25" s="137">
        <v>175.06298</v>
      </c>
      <c r="N25" s="137">
        <v>23.0976</v>
      </c>
      <c r="O25" s="137">
        <v>7.91727</v>
      </c>
      <c r="P25" s="206">
        <f t="shared" si="1"/>
        <v>865.38098</v>
      </c>
      <c r="Q25" s="206">
        <f t="shared" si="2"/>
        <v>-32.901284799999985</v>
      </c>
      <c r="R25" s="181">
        <f>K25/'Part-I'!P25</f>
        <v>114.79268188703547</v>
      </c>
      <c r="S25" s="181">
        <v>198.21515</v>
      </c>
      <c r="T25" s="265">
        <f t="shared" si="3"/>
        <v>667.16583</v>
      </c>
      <c r="U25" s="9">
        <v>61.02503</v>
      </c>
      <c r="V25" s="24"/>
      <c r="W25" s="24">
        <f>P25-'[1]Part-II'!P25</f>
        <v>442.19808500000005</v>
      </c>
      <c r="X25" s="24">
        <f>M25-'[1]Part-II'!M25</f>
        <v>130.5432</v>
      </c>
      <c r="Y25" s="24">
        <f t="shared" si="4"/>
        <v>-32.901284799999985</v>
      </c>
      <c r="Z25" s="24"/>
      <c r="AA25" s="24">
        <f>K25/'Part-I'!P25</f>
        <v>114.79268188703547</v>
      </c>
      <c r="AB25" s="24">
        <f t="shared" si="5"/>
        <v>0.07018730962168525</v>
      </c>
      <c r="AC25" s="24">
        <v>482.3963</v>
      </c>
      <c r="AD25" s="24">
        <v>482.3963</v>
      </c>
      <c r="AE25" s="24">
        <v>482.3963</v>
      </c>
      <c r="AF25" s="24">
        <f t="shared" si="6"/>
        <v>0</v>
      </c>
      <c r="AG25" s="24">
        <v>303.74267000000003</v>
      </c>
      <c r="AH25" s="24">
        <f t="shared" si="7"/>
        <v>178.65362999999996</v>
      </c>
      <c r="AI25" s="24">
        <f>K25/P25</f>
        <v>0.7312125579649323</v>
      </c>
      <c r="AJ25" s="24">
        <f t="shared" si="9"/>
        <v>0.030652037210246983</v>
      </c>
      <c r="AK25" s="24">
        <f t="shared" si="10"/>
        <v>0.20229584893349517</v>
      </c>
      <c r="AL25" s="24">
        <f t="shared" si="11"/>
        <v>0.026690672124547964</v>
      </c>
      <c r="AM25" s="24">
        <f t="shared" si="12"/>
        <v>0.009148883766777496</v>
      </c>
      <c r="AN25" s="9">
        <f t="shared" si="13"/>
        <v>352.73423</v>
      </c>
      <c r="AO25" s="9">
        <f t="shared" si="14"/>
        <v>14.78643</v>
      </c>
      <c r="AP25" s="9">
        <f t="shared" si="15"/>
        <v>97.58677</v>
      </c>
      <c r="AQ25" s="9">
        <f t="shared" si="16"/>
        <v>12.87548</v>
      </c>
      <c r="AR25" s="9">
        <f t="shared" si="17"/>
        <v>4.41339</v>
      </c>
      <c r="AS25" s="283">
        <f t="shared" si="18"/>
        <v>482.3963</v>
      </c>
      <c r="AT25" s="24">
        <v>583.1518410847</v>
      </c>
      <c r="AU25" s="24">
        <f t="shared" si="19"/>
        <v>-282.22913891530004</v>
      </c>
      <c r="AV25" s="24"/>
      <c r="AW25" s="24"/>
      <c r="AX25" s="24"/>
      <c r="AY25" s="24"/>
    </row>
    <row r="26" spans="1:45" s="8" customFormat="1" ht="19.5" customHeight="1">
      <c r="A26" s="15"/>
      <c r="B26" s="150" t="s">
        <v>5</v>
      </c>
      <c r="C26" s="16">
        <f aca="true" t="shared" si="20" ref="C26:H26">SUM(C13:C25)</f>
        <v>506.0905897000002</v>
      </c>
      <c r="D26" s="16">
        <f t="shared" si="20"/>
        <v>0</v>
      </c>
      <c r="E26" s="16">
        <f t="shared" si="20"/>
        <v>0</v>
      </c>
      <c r="F26" s="374">
        <f>SUM(F13:F25)</f>
        <v>12184.36357</v>
      </c>
      <c r="G26" s="375"/>
      <c r="H26" s="17">
        <f t="shared" si="20"/>
        <v>24.73028</v>
      </c>
      <c r="I26" s="16">
        <f aca="true" t="shared" si="21" ref="I26:P26">SUM(I13:I25)</f>
        <v>12715.1844397</v>
      </c>
      <c r="J26" s="16">
        <f t="shared" si="21"/>
        <v>0</v>
      </c>
      <c r="K26" s="17">
        <f t="shared" si="21"/>
        <v>8466.022900000002</v>
      </c>
      <c r="L26" s="17">
        <f t="shared" si="21"/>
        <v>401.770025</v>
      </c>
      <c r="M26" s="17">
        <f t="shared" si="21"/>
        <v>2897.5668900000005</v>
      </c>
      <c r="N26" s="17">
        <f t="shared" si="21"/>
        <v>331.925015</v>
      </c>
      <c r="O26" s="17">
        <f t="shared" si="21"/>
        <v>232.308435</v>
      </c>
      <c r="P26" s="17">
        <f t="shared" si="21"/>
        <v>12329.593265</v>
      </c>
      <c r="Q26" s="203">
        <f>SUM(Q13:Q25)</f>
        <v>385.5911746999999</v>
      </c>
      <c r="R26" s="203">
        <f>SUM(R13:R25)</f>
        <v>1368.6838981601327</v>
      </c>
      <c r="S26" s="203">
        <f>SUM(S13:S25)</f>
        <v>4111.635285999999</v>
      </c>
      <c r="T26" s="203">
        <f>SUM(T13:T25)</f>
        <v>8217.957979</v>
      </c>
      <c r="U26" s="203">
        <f>SUM(U13:U25)</f>
        <v>969.5746310000002</v>
      </c>
      <c r="W26" s="24">
        <f>P26-'[1]Part-II'!P26</f>
        <v>6295.396160000001</v>
      </c>
      <c r="X26" s="24">
        <f>M26-'[1]Part-II'!M26</f>
        <v>1634.1475900000005</v>
      </c>
      <c r="Y26" s="24">
        <f>SUM(Y13:Y25)</f>
        <v>385.5911746999999</v>
      </c>
      <c r="Z26" s="24"/>
      <c r="AA26" s="24"/>
      <c r="AB26" s="24"/>
      <c r="AC26" s="297">
        <f>SUM(AC13:AC25)</f>
        <v>9224.103124336256</v>
      </c>
      <c r="AD26" s="297">
        <f>SUM(AD13:AD25)</f>
        <v>8976.738605999999</v>
      </c>
      <c r="AE26" s="284">
        <f>SUM(AE13:AE25)</f>
        <v>9386.336493636556</v>
      </c>
      <c r="AF26" s="24">
        <f>SUM(AF13:AF25)</f>
        <v>409.5978876365555</v>
      </c>
      <c r="AG26" s="284">
        <f>+AF26+P26</f>
        <v>12739.191152636555</v>
      </c>
      <c r="AH26" s="24"/>
      <c r="AI26" s="24"/>
      <c r="AJ26" s="24"/>
      <c r="AK26" s="24"/>
      <c r="AL26" s="24"/>
      <c r="AS26" s="285">
        <f>SUM(AS13:AS25)</f>
        <v>9386.33651</v>
      </c>
    </row>
    <row r="27" spans="1:29" s="183" customFormat="1" ht="18.75">
      <c r="A27" s="184">
        <v>1</v>
      </c>
      <c r="B27" s="185" t="s">
        <v>50</v>
      </c>
      <c r="C27" s="149">
        <v>222.78</v>
      </c>
      <c r="D27" s="148"/>
      <c r="E27" s="149"/>
      <c r="F27" s="235">
        <v>249.73684</v>
      </c>
      <c r="G27" s="236"/>
      <c r="H27" s="149"/>
      <c r="I27" s="143">
        <f>SUM(C27:H27)</f>
        <v>472.51684</v>
      </c>
      <c r="J27" s="186"/>
      <c r="K27" s="304">
        <v>291.39</v>
      </c>
      <c r="L27" s="304"/>
      <c r="M27" s="304"/>
      <c r="N27" s="304"/>
      <c r="O27" s="304"/>
      <c r="P27" s="144">
        <f t="shared" si="1"/>
        <v>291.39</v>
      </c>
      <c r="Q27" s="206">
        <f t="shared" si="2"/>
        <v>181.12684000000002</v>
      </c>
      <c r="R27" s="182"/>
      <c r="S27" s="182">
        <v>83.25</v>
      </c>
      <c r="T27" s="182"/>
      <c r="U27" s="182"/>
      <c r="Y27" s="24">
        <f t="shared" si="4"/>
        <v>181.12684000000002</v>
      </c>
      <c r="AC27" s="301">
        <f>AC26-P31</f>
        <v>-93.13023566374432</v>
      </c>
    </row>
    <row r="28" spans="1:35" s="9" customFormat="1" ht="18.75">
      <c r="A28" s="18">
        <v>2</v>
      </c>
      <c r="B28" s="151" t="s">
        <v>106</v>
      </c>
      <c r="C28" s="135">
        <v>983.81</v>
      </c>
      <c r="D28" s="148"/>
      <c r="E28" s="149">
        <f>555.56</f>
        <v>555.56</v>
      </c>
      <c r="F28" s="149">
        <f>2000+1000+100+900+300+2700+1000+1000+900</f>
        <v>9900</v>
      </c>
      <c r="G28" s="135">
        <f>333.33+144.44+555.56+66.67</f>
        <v>1100</v>
      </c>
      <c r="H28" s="135">
        <f>34.68097+83.2524-24.73028+12.48367</f>
        <v>105.68676</v>
      </c>
      <c r="I28" s="139">
        <f>SUM(C28:H28)</f>
        <v>12645.05676</v>
      </c>
      <c r="J28" s="136"/>
      <c r="K28" s="304"/>
      <c r="L28" s="304"/>
      <c r="M28" s="304"/>
      <c r="N28" s="304">
        <v>43.56635</v>
      </c>
      <c r="O28" s="304">
        <v>33.02704</v>
      </c>
      <c r="P28" s="138">
        <f t="shared" si="1"/>
        <v>76.59339</v>
      </c>
      <c r="Q28" s="204"/>
      <c r="R28" s="172"/>
      <c r="S28" s="172">
        <v>29.33462</v>
      </c>
      <c r="T28" s="172"/>
      <c r="U28" s="172"/>
      <c r="Y28" s="24">
        <f>I28-(F26+F27+N28+O28)</f>
        <v>134.36296000000038</v>
      </c>
      <c r="Z28" s="302"/>
      <c r="AC28" s="302">
        <f>AC16-AC27</f>
        <v>719.1834140152315</v>
      </c>
      <c r="AE28" s="9">
        <v>41.962</v>
      </c>
      <c r="AF28" s="24">
        <f>N28/P28</f>
        <v>0.5688003886497255</v>
      </c>
      <c r="AG28" s="9">
        <f>AF28*AE28</f>
        <v>23.868001908519783</v>
      </c>
      <c r="AH28" s="9">
        <v>23.868</v>
      </c>
      <c r="AI28" s="9">
        <f>AE28-AH28</f>
        <v>18.094000000000005</v>
      </c>
    </row>
    <row r="29" spans="1:32" s="19" customFormat="1" ht="19.5" customHeight="1">
      <c r="A29" s="151"/>
      <c r="B29" s="152" t="s">
        <v>5</v>
      </c>
      <c r="C29" s="140">
        <f>SUM(C27:C28)</f>
        <v>1206.59</v>
      </c>
      <c r="D29" s="140">
        <f aca="true" t="shared" si="22" ref="D29:O29">SUM(D27:D28)</f>
        <v>0</v>
      </c>
      <c r="E29" s="140">
        <f>SUM(E27:E28)</f>
        <v>555.56</v>
      </c>
      <c r="F29" s="140">
        <f>F28</f>
        <v>9900</v>
      </c>
      <c r="G29" s="140">
        <f>SUM(G27:G28)</f>
        <v>1100</v>
      </c>
      <c r="H29" s="140">
        <f t="shared" si="22"/>
        <v>105.68676</v>
      </c>
      <c r="I29" s="140">
        <f>SUM(I27:I28)</f>
        <v>13117.5736</v>
      </c>
      <c r="J29" s="141"/>
      <c r="K29" s="142">
        <f t="shared" si="22"/>
        <v>291.39</v>
      </c>
      <c r="L29" s="142">
        <f t="shared" si="22"/>
        <v>0</v>
      </c>
      <c r="M29" s="142">
        <f t="shared" si="22"/>
        <v>0</v>
      </c>
      <c r="N29" s="142">
        <f t="shared" si="22"/>
        <v>43.56635</v>
      </c>
      <c r="O29" s="142">
        <f t="shared" si="22"/>
        <v>33.02704</v>
      </c>
      <c r="P29" s="142">
        <f>SUM(K29:O29)</f>
        <v>367.98339</v>
      </c>
      <c r="Q29" s="205"/>
      <c r="R29" s="176"/>
      <c r="S29" s="142">
        <f>SUM(N29:R29)</f>
        <v>444.57678</v>
      </c>
      <c r="T29" s="176"/>
      <c r="U29" s="176"/>
      <c r="Z29" s="332">
        <f>Z28+83</f>
        <v>83</v>
      </c>
      <c r="AD29" s="19" t="s">
        <v>119</v>
      </c>
      <c r="AF29" s="19" t="s">
        <v>119</v>
      </c>
    </row>
    <row r="30" spans="1:30" s="9" customFormat="1" ht="15.75">
      <c r="A30" s="153"/>
      <c r="B30" s="154" t="s">
        <v>51</v>
      </c>
      <c r="C30" s="20">
        <f aca="true" t="shared" si="23" ref="C30:O30">C26+C29</f>
        <v>1712.6805897000002</v>
      </c>
      <c r="D30" s="20">
        <f t="shared" si="23"/>
        <v>0</v>
      </c>
      <c r="E30" s="20">
        <f>E29</f>
        <v>555.56</v>
      </c>
      <c r="F30" s="20">
        <f>F29</f>
        <v>9900</v>
      </c>
      <c r="G30" s="20">
        <f>G26+G29</f>
        <v>1100</v>
      </c>
      <c r="H30" s="20">
        <f t="shared" si="23"/>
        <v>130.41704000000001</v>
      </c>
      <c r="I30" s="20">
        <f>SUM(C30:H30)</f>
        <v>13398.6576297</v>
      </c>
      <c r="J30" s="20">
        <f>J26</f>
        <v>0</v>
      </c>
      <c r="K30" s="21">
        <f t="shared" si="23"/>
        <v>8757.412900000001</v>
      </c>
      <c r="L30" s="21">
        <f t="shared" si="23"/>
        <v>401.770025</v>
      </c>
      <c r="M30" s="21">
        <f t="shared" si="23"/>
        <v>2897.5668900000005</v>
      </c>
      <c r="N30" s="21">
        <f t="shared" si="23"/>
        <v>375.491365</v>
      </c>
      <c r="O30" s="21">
        <f t="shared" si="23"/>
        <v>265.335475</v>
      </c>
      <c r="P30" s="21">
        <f>P26+P29</f>
        <v>12697.576654999999</v>
      </c>
      <c r="Q30" s="181">
        <f>I30-P30</f>
        <v>701.0809747000003</v>
      </c>
      <c r="R30" s="177">
        <v>5238.43376</v>
      </c>
      <c r="S30" s="21">
        <f>S26+S29</f>
        <v>4556.212065999999</v>
      </c>
      <c r="T30" s="177"/>
      <c r="U30" s="172">
        <f>P30-R30</f>
        <v>7459.142894999999</v>
      </c>
      <c r="V30" s="171"/>
      <c r="Y30" s="24">
        <f>I30-P30</f>
        <v>701.0809747000003</v>
      </c>
      <c r="AA30" s="24">
        <f>P30-'[5]Part-II'!$P$30</f>
        <v>1552.3995790000008</v>
      </c>
      <c r="AB30" s="9">
        <f>P30/146</f>
        <v>86.96970311643835</v>
      </c>
      <c r="AC30" s="24">
        <f>AC26+P27+P28</f>
        <v>9592.086514336255</v>
      </c>
      <c r="AD30" s="24"/>
    </row>
    <row r="31" spans="1:29" s="9" customFormat="1" ht="22.5" customHeight="1">
      <c r="A31" s="168"/>
      <c r="B31" s="334" t="s">
        <v>147</v>
      </c>
      <c r="C31" s="333"/>
      <c r="D31" s="333"/>
      <c r="E31" s="333"/>
      <c r="F31" s="333"/>
      <c r="G31" s="335"/>
      <c r="H31" s="333"/>
      <c r="I31" s="335"/>
      <c r="J31" s="336"/>
      <c r="K31" s="317">
        <f>P33-P30</f>
        <v>-3938.7848749999994</v>
      </c>
      <c r="L31" s="318"/>
      <c r="M31" s="327"/>
      <c r="N31" s="328">
        <f>O31-P30</f>
        <v>-1184.576654999999</v>
      </c>
      <c r="O31" s="328">
        <f>11513</f>
        <v>11513</v>
      </c>
      <c r="P31" s="329">
        <v>9317.23336</v>
      </c>
      <c r="Q31" s="23"/>
      <c r="R31" s="181">
        <f>R24-S24</f>
        <v>-50.193762889646635</v>
      </c>
      <c r="S31" s="181">
        <f>R31+R17</f>
        <v>53.17670690507737</v>
      </c>
      <c r="T31" s="207"/>
      <c r="AB31" s="24">
        <v>7486.3369</v>
      </c>
      <c r="AC31" s="24">
        <f>P31-AC26</f>
        <v>93.13023566374432</v>
      </c>
    </row>
    <row r="32" spans="1:31" s="9" customFormat="1" ht="36.75" customHeight="1">
      <c r="A32" s="276"/>
      <c r="B32" s="276"/>
      <c r="C32" s="276"/>
      <c r="D32" s="276"/>
      <c r="E32" s="276"/>
      <c r="F32" s="308"/>
      <c r="G32" s="308"/>
      <c r="H32" s="276"/>
      <c r="I32" s="276" t="s">
        <v>119</v>
      </c>
      <c r="J32" s="321"/>
      <c r="K32" s="322">
        <v>4864941</v>
      </c>
      <c r="L32" s="318">
        <f>N28/P28</f>
        <v>0.5688003886497255</v>
      </c>
      <c r="M32" s="327"/>
      <c r="N32" s="330"/>
      <c r="O32" s="331">
        <f>P26/P30</f>
        <v>0.9710194000006217</v>
      </c>
      <c r="P32" s="329">
        <f>P31*O32</f>
        <v>9047.214346892977</v>
      </c>
      <c r="Q32" s="254"/>
      <c r="AB32" s="24">
        <f>AB31+P29</f>
        <v>7854.320290000001</v>
      </c>
      <c r="AC32" s="9">
        <v>9257.403486</v>
      </c>
      <c r="AE32" s="24">
        <f>P30+800</f>
        <v>13497.576654999999</v>
      </c>
    </row>
    <row r="33" spans="2:34" s="9" customFormat="1" ht="18" customHeight="1">
      <c r="B33" s="19"/>
      <c r="C33" s="172"/>
      <c r="D33" s="231"/>
      <c r="J33" s="318"/>
      <c r="K33" s="323">
        <f>K32/100000</f>
        <v>48.64941</v>
      </c>
      <c r="L33" s="318">
        <f>L32*L36</f>
        <v>43.56635</v>
      </c>
      <c r="M33" s="24"/>
      <c r="N33" s="95" t="s">
        <v>134</v>
      </c>
      <c r="P33" s="320">
        <v>8758.79178</v>
      </c>
      <c r="Q33" s="23"/>
      <c r="AC33" s="24">
        <v>8976.738605999999</v>
      </c>
      <c r="AE33" s="9">
        <v>9257.403486</v>
      </c>
      <c r="AH33" s="9" t="s">
        <v>119</v>
      </c>
    </row>
    <row r="34" spans="2:31" s="9" customFormat="1" ht="20.25" customHeight="1">
      <c r="B34" s="145"/>
      <c r="C34" s="145"/>
      <c r="D34" s="145"/>
      <c r="E34" s="145"/>
      <c r="F34" s="145"/>
      <c r="G34" s="145"/>
      <c r="H34" s="145"/>
      <c r="I34" s="145"/>
      <c r="J34" s="324"/>
      <c r="K34" s="325">
        <f>N29+O29</f>
        <v>76.59339</v>
      </c>
      <c r="L34" s="324" t="s">
        <v>119</v>
      </c>
      <c r="M34" s="145"/>
      <c r="N34" s="97" t="s">
        <v>135</v>
      </c>
      <c r="O34" s="145"/>
      <c r="P34" s="145"/>
      <c r="Q34" s="145"/>
      <c r="AC34" s="24">
        <f>AC33-P26</f>
        <v>-3352.8546590000005</v>
      </c>
      <c r="AD34" s="9" t="s">
        <v>119</v>
      </c>
      <c r="AE34" s="24"/>
    </row>
    <row r="35" spans="4:30" s="9" customFormat="1" ht="15.75">
      <c r="D35" s="22"/>
      <c r="J35" s="326">
        <f>N29/K34</f>
        <v>0.5688003886497255</v>
      </c>
      <c r="K35" s="326">
        <f>O29/K34</f>
        <v>0.43119961135027446</v>
      </c>
      <c r="L35" s="318"/>
      <c r="N35" s="97" t="s">
        <v>115</v>
      </c>
      <c r="P35" s="24"/>
      <c r="AC35" s="24">
        <f>P26+800</f>
        <v>13129.593265</v>
      </c>
      <c r="AD35" s="24">
        <f>AC35+P29</f>
        <v>13497.576654999999</v>
      </c>
    </row>
    <row r="36" spans="2:29" s="9" customFormat="1" ht="18.75">
      <c r="B36" s="19"/>
      <c r="D36" s="22"/>
      <c r="J36" s="318">
        <v>27.6718</v>
      </c>
      <c r="K36" s="319">
        <f>K33-J36</f>
        <v>20.977610000000002</v>
      </c>
      <c r="L36" s="318">
        <f>L37/100000</f>
        <v>76.59339</v>
      </c>
      <c r="M36" s="146"/>
      <c r="N36" s="99" t="s">
        <v>136</v>
      </c>
      <c r="O36" s="147"/>
      <c r="P36" s="147" t="s">
        <v>119</v>
      </c>
      <c r="Q36" s="147"/>
      <c r="AC36" s="24">
        <v>8758.79178</v>
      </c>
    </row>
    <row r="37" spans="2:29" s="9" customFormat="1" ht="18.75">
      <c r="B37" s="19"/>
      <c r="D37" s="22"/>
      <c r="F37" s="173"/>
      <c r="G37" s="173"/>
      <c r="H37" s="174"/>
      <c r="J37" s="318"/>
      <c r="K37" s="318"/>
      <c r="L37" s="318">
        <v>7659339</v>
      </c>
      <c r="M37" s="146"/>
      <c r="N37" s="97" t="s">
        <v>117</v>
      </c>
      <c r="O37" s="147"/>
      <c r="P37" s="147"/>
      <c r="Q37" s="147"/>
      <c r="AB37" s="9" t="s">
        <v>140</v>
      </c>
      <c r="AC37" s="268">
        <f>AD35-AC36</f>
        <v>4738.784874999999</v>
      </c>
    </row>
    <row r="38" spans="3:8" ht="15">
      <c r="C38" s="230"/>
      <c r="F38" s="175"/>
      <c r="G38" s="175"/>
      <c r="H38" s="174"/>
    </row>
    <row r="42" ht="15">
      <c r="N42" s="4">
        <f>N28/P28</f>
        <v>0.5688003886497255</v>
      </c>
    </row>
    <row r="43" spans="14:17" ht="15">
      <c r="N43" s="4">
        <v>53.00796</v>
      </c>
      <c r="Q43" s="4" t="s">
        <v>119</v>
      </c>
    </row>
    <row r="44" ht="15">
      <c r="N44" s="4">
        <f>N43*N42</f>
        <v>30.1509482495291</v>
      </c>
    </row>
    <row r="45" spans="14:15" ht="15">
      <c r="N45" s="4">
        <v>30.15095</v>
      </c>
      <c r="O45" s="4">
        <f>N43-N45</f>
        <v>22.857009999999995</v>
      </c>
    </row>
  </sheetData>
  <sheetProtection/>
  <mergeCells count="43">
    <mergeCell ref="F17:G17"/>
    <mergeCell ref="F18:G18"/>
    <mergeCell ref="F19:G19"/>
    <mergeCell ref="F20:G20"/>
    <mergeCell ref="F25:G25"/>
    <mergeCell ref="F21:G21"/>
    <mergeCell ref="F22:G22"/>
    <mergeCell ref="F23:G23"/>
    <mergeCell ref="F24:G24"/>
    <mergeCell ref="F26:G26"/>
    <mergeCell ref="E10:E11"/>
    <mergeCell ref="B9:B11"/>
    <mergeCell ref="C9:C11"/>
    <mergeCell ref="D10:D11"/>
    <mergeCell ref="D9:E9"/>
    <mergeCell ref="F13:G13"/>
    <mergeCell ref="F14:G14"/>
    <mergeCell ref="F15:G15"/>
    <mergeCell ref="F16:G16"/>
    <mergeCell ref="N1:P1"/>
    <mergeCell ref="A2:P2"/>
    <mergeCell ref="A4:P4"/>
    <mergeCell ref="A6:P6"/>
    <mergeCell ref="H9:H11"/>
    <mergeCell ref="F9:G9"/>
    <mergeCell ref="F10:F11"/>
    <mergeCell ref="G10:G11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V10:V12"/>
    <mergeCell ref="W10:W12"/>
    <mergeCell ref="R10:R12"/>
    <mergeCell ref="S10:S12"/>
    <mergeCell ref="T10:T12"/>
    <mergeCell ref="U10:U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70" zoomScaleNormal="85" zoomScaleSheetLayoutView="70" zoomScalePageLayoutView="0" workbookViewId="0" topLeftCell="AH4">
      <selection activeCell="BE14" sqref="BE14:BF14"/>
    </sheetView>
  </sheetViews>
  <sheetFormatPr defaultColWidth="9.140625" defaultRowHeight="15"/>
  <cols>
    <col min="1" max="1" width="4.140625" style="46" customWidth="1"/>
    <col min="2" max="2" width="18.57421875" style="65" customWidth="1"/>
    <col min="3" max="4" width="7.57421875" style="46" customWidth="1"/>
    <col min="5" max="5" width="9.57421875" style="46" customWidth="1"/>
    <col min="6" max="9" width="7.57421875" style="46" customWidth="1"/>
    <col min="10" max="10" width="8.8515625" style="46" customWidth="1"/>
    <col min="11" max="18" width="7.57421875" style="46" customWidth="1"/>
    <col min="19" max="19" width="8.421875" style="46" customWidth="1"/>
    <col min="20" max="20" width="7.57421875" style="46" customWidth="1"/>
    <col min="21" max="26" width="8.00390625" style="46" customWidth="1"/>
    <col min="27" max="27" width="9.00390625" style="46" customWidth="1"/>
    <col min="28" max="29" width="8.00390625" style="46" customWidth="1"/>
    <col min="30" max="30" width="9.57421875" style="46" customWidth="1"/>
    <col min="31" max="38" width="8.00390625" style="46" customWidth="1"/>
    <col min="39" max="40" width="7.00390625" style="46" customWidth="1"/>
    <col min="41" max="41" width="7.57421875" style="46" customWidth="1"/>
    <col min="42" max="42" width="6.57421875" style="46" customWidth="1"/>
    <col min="43" max="43" width="6.7109375" style="46" customWidth="1"/>
    <col min="44" max="44" width="7.57421875" style="46" customWidth="1"/>
    <col min="45" max="45" width="7.7109375" style="46" customWidth="1"/>
    <col min="46" max="46" width="6.28125" style="46" customWidth="1"/>
    <col min="47" max="47" width="7.57421875" style="46" customWidth="1"/>
    <col min="48" max="48" width="8.28125" style="46" customWidth="1"/>
    <col min="49" max="49" width="6.421875" style="46" customWidth="1"/>
    <col min="50" max="50" width="7.57421875" style="46" customWidth="1"/>
    <col min="51" max="51" width="6.00390625" style="46" customWidth="1"/>
    <col min="52" max="52" width="6.28125" style="46" customWidth="1"/>
    <col min="53" max="53" width="7.57421875" style="46" customWidth="1"/>
    <col min="54" max="54" width="6.28125" style="46" customWidth="1"/>
    <col min="55" max="55" width="6.57421875" style="46" customWidth="1"/>
    <col min="56" max="56" width="7.00390625" style="46" customWidth="1"/>
    <col min="57" max="57" width="6.140625" style="46" customWidth="1"/>
    <col min="58" max="59" width="7.00390625" style="46" customWidth="1"/>
    <col min="60" max="60" width="6.57421875" style="46" customWidth="1"/>
    <col min="61" max="61" width="7.140625" style="46" customWidth="1"/>
    <col min="62" max="62" width="6.7109375" style="46" customWidth="1"/>
    <col min="63" max="16384" width="9.140625" style="46" customWidth="1"/>
  </cols>
  <sheetData>
    <row r="1" spans="1:62" s="42" customFormat="1" ht="16.5">
      <c r="A1" s="40"/>
      <c r="B1" s="41"/>
      <c r="Q1" s="401" t="s">
        <v>110</v>
      </c>
      <c r="R1" s="401"/>
      <c r="S1" s="401"/>
      <c r="T1" s="401"/>
      <c r="AJ1" s="401" t="s">
        <v>110</v>
      </c>
      <c r="AK1" s="401"/>
      <c r="AL1" s="401"/>
      <c r="AM1" s="43"/>
      <c r="AN1" s="43"/>
      <c r="BH1" s="401" t="s">
        <v>110</v>
      </c>
      <c r="BI1" s="401"/>
      <c r="BJ1" s="401"/>
    </row>
    <row r="2" spans="1:62" s="44" customFormat="1" ht="22.5" customHeight="1">
      <c r="A2" s="385" t="s">
        <v>138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 t="s">
        <v>138</v>
      </c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 t="s">
        <v>138</v>
      </c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</row>
    <row r="3" spans="1:40" ht="15" customHeight="1">
      <c r="A3" s="45"/>
      <c r="B3" s="45"/>
      <c r="U3" s="45"/>
      <c r="V3" s="45"/>
      <c r="AM3" s="45"/>
      <c r="AN3" s="45"/>
    </row>
    <row r="4" spans="1:62" s="47" customFormat="1" ht="19.5" customHeight="1">
      <c r="A4" s="386" t="s">
        <v>37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 t="s">
        <v>37</v>
      </c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 t="s">
        <v>37</v>
      </c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</row>
    <row r="5" spans="1:40" ht="13.5" customHeight="1">
      <c r="A5" s="48"/>
      <c r="B5" s="48"/>
      <c r="U5" s="48"/>
      <c r="V5" s="48"/>
      <c r="AM5" s="48"/>
      <c r="AN5" s="48"/>
    </row>
    <row r="6" spans="1:62" s="49" customFormat="1" ht="22.5" customHeight="1">
      <c r="A6" s="387" t="s">
        <v>143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 t="s">
        <v>143</v>
      </c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 t="s">
        <v>143</v>
      </c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</row>
    <row r="7" spans="1:2" ht="13.5" customHeight="1">
      <c r="A7" s="48"/>
      <c r="B7" s="48"/>
    </row>
    <row r="8" spans="1:2" ht="21" customHeight="1">
      <c r="A8" s="50" t="s">
        <v>38</v>
      </c>
      <c r="B8" s="48"/>
    </row>
    <row r="9" spans="2:62" ht="20.25">
      <c r="B9" s="46"/>
      <c r="C9" s="396">
        <v>1</v>
      </c>
      <c r="D9" s="396"/>
      <c r="E9" s="396"/>
      <c r="F9" s="396"/>
      <c r="G9" s="396"/>
      <c r="H9" s="396"/>
      <c r="I9" s="396">
        <v>2</v>
      </c>
      <c r="J9" s="396"/>
      <c r="K9" s="396"/>
      <c r="L9" s="396"/>
      <c r="M9" s="396"/>
      <c r="N9" s="396"/>
      <c r="O9" s="396">
        <v>3</v>
      </c>
      <c r="P9" s="396"/>
      <c r="Q9" s="396"/>
      <c r="R9" s="396"/>
      <c r="S9" s="396"/>
      <c r="T9" s="396"/>
      <c r="U9" s="396">
        <v>4</v>
      </c>
      <c r="V9" s="396"/>
      <c r="W9" s="396"/>
      <c r="X9" s="396"/>
      <c r="Y9" s="396"/>
      <c r="Z9" s="396"/>
      <c r="AA9" s="396">
        <v>5</v>
      </c>
      <c r="AB9" s="396"/>
      <c r="AC9" s="396"/>
      <c r="AD9" s="396"/>
      <c r="AE9" s="396"/>
      <c r="AF9" s="396"/>
      <c r="AG9" s="389">
        <v>6</v>
      </c>
      <c r="AH9" s="389"/>
      <c r="AI9" s="389"/>
      <c r="AJ9" s="389"/>
      <c r="AK9" s="389"/>
      <c r="AL9" s="389"/>
      <c r="AM9" s="389">
        <v>7</v>
      </c>
      <c r="AN9" s="389"/>
      <c r="AO9" s="389"/>
      <c r="AP9" s="389"/>
      <c r="AQ9" s="389"/>
      <c r="AR9" s="389"/>
      <c r="AS9" s="389">
        <v>8</v>
      </c>
      <c r="AT9" s="389"/>
      <c r="AU9" s="389"/>
      <c r="AV9" s="389"/>
      <c r="AW9" s="389"/>
      <c r="AX9" s="389"/>
      <c r="AY9" s="389">
        <v>9</v>
      </c>
      <c r="AZ9" s="389"/>
      <c r="BA9" s="389"/>
      <c r="BB9" s="389"/>
      <c r="BC9" s="389"/>
      <c r="BD9" s="389"/>
      <c r="BE9" s="388">
        <v>10</v>
      </c>
      <c r="BF9" s="388"/>
      <c r="BG9" s="388"/>
      <c r="BH9" s="388"/>
      <c r="BI9" s="388"/>
      <c r="BJ9" s="388"/>
    </row>
    <row r="10" spans="1:62" s="51" customFormat="1" ht="22.5" customHeight="1">
      <c r="A10" s="390" t="s">
        <v>0</v>
      </c>
      <c r="B10" s="393" t="s">
        <v>111</v>
      </c>
      <c r="C10" s="380" t="s">
        <v>58</v>
      </c>
      <c r="D10" s="380"/>
      <c r="E10" s="380"/>
      <c r="F10" s="380"/>
      <c r="G10" s="380"/>
      <c r="H10" s="380"/>
      <c r="I10" s="397" t="s">
        <v>59</v>
      </c>
      <c r="J10" s="398"/>
      <c r="K10" s="398"/>
      <c r="L10" s="398"/>
      <c r="M10" s="398"/>
      <c r="N10" s="399"/>
      <c r="O10" s="397" t="s">
        <v>60</v>
      </c>
      <c r="P10" s="398"/>
      <c r="Q10" s="398"/>
      <c r="R10" s="398"/>
      <c r="S10" s="398"/>
      <c r="T10" s="399"/>
      <c r="U10" s="397" t="s">
        <v>112</v>
      </c>
      <c r="V10" s="398"/>
      <c r="W10" s="398"/>
      <c r="X10" s="398"/>
      <c r="Y10" s="398"/>
      <c r="Z10" s="398"/>
      <c r="AA10" s="397" t="s">
        <v>61</v>
      </c>
      <c r="AB10" s="398"/>
      <c r="AC10" s="398"/>
      <c r="AD10" s="398"/>
      <c r="AE10" s="398"/>
      <c r="AF10" s="398"/>
      <c r="AG10" s="380" t="s">
        <v>62</v>
      </c>
      <c r="AH10" s="380"/>
      <c r="AI10" s="380"/>
      <c r="AJ10" s="380"/>
      <c r="AK10" s="380"/>
      <c r="AL10" s="380"/>
      <c r="AM10" s="380" t="s">
        <v>63</v>
      </c>
      <c r="AN10" s="380"/>
      <c r="AO10" s="380"/>
      <c r="AP10" s="380"/>
      <c r="AQ10" s="380"/>
      <c r="AR10" s="380"/>
      <c r="AS10" s="380" t="s">
        <v>64</v>
      </c>
      <c r="AT10" s="380"/>
      <c r="AU10" s="380"/>
      <c r="AV10" s="380"/>
      <c r="AW10" s="380"/>
      <c r="AX10" s="380"/>
      <c r="AY10" s="380" t="s">
        <v>65</v>
      </c>
      <c r="AZ10" s="380"/>
      <c r="BA10" s="380"/>
      <c r="BB10" s="380"/>
      <c r="BC10" s="380"/>
      <c r="BD10" s="380"/>
      <c r="BE10" s="380" t="s">
        <v>116</v>
      </c>
      <c r="BF10" s="380"/>
      <c r="BG10" s="380"/>
      <c r="BH10" s="380"/>
      <c r="BI10" s="380"/>
      <c r="BJ10" s="380"/>
    </row>
    <row r="11" spans="1:62" s="51" customFormat="1" ht="28.5" customHeight="1">
      <c r="A11" s="391"/>
      <c r="B11" s="394"/>
      <c r="C11" s="380" t="s">
        <v>66</v>
      </c>
      <c r="D11" s="380"/>
      <c r="E11" s="380"/>
      <c r="F11" s="380" t="s">
        <v>67</v>
      </c>
      <c r="G11" s="380"/>
      <c r="H11" s="380"/>
      <c r="I11" s="380" t="s">
        <v>66</v>
      </c>
      <c r="J11" s="380"/>
      <c r="K11" s="380"/>
      <c r="L11" s="380" t="s">
        <v>67</v>
      </c>
      <c r="M11" s="380"/>
      <c r="N11" s="380"/>
      <c r="O11" s="380" t="s">
        <v>66</v>
      </c>
      <c r="P11" s="380"/>
      <c r="Q11" s="380"/>
      <c r="R11" s="380" t="s">
        <v>67</v>
      </c>
      <c r="S11" s="380"/>
      <c r="T11" s="380"/>
      <c r="U11" s="380" t="s">
        <v>66</v>
      </c>
      <c r="V11" s="380"/>
      <c r="W11" s="380"/>
      <c r="X11" s="380" t="s">
        <v>67</v>
      </c>
      <c r="Y11" s="380"/>
      <c r="Z11" s="380"/>
      <c r="AA11" s="380" t="s">
        <v>66</v>
      </c>
      <c r="AB11" s="380"/>
      <c r="AC11" s="380"/>
      <c r="AD11" s="380" t="s">
        <v>67</v>
      </c>
      <c r="AE11" s="380"/>
      <c r="AF11" s="380"/>
      <c r="AG11" s="380" t="s">
        <v>66</v>
      </c>
      <c r="AH11" s="380"/>
      <c r="AI11" s="380"/>
      <c r="AJ11" s="380" t="s">
        <v>67</v>
      </c>
      <c r="AK11" s="380"/>
      <c r="AL11" s="380"/>
      <c r="AM11" s="380" t="s">
        <v>66</v>
      </c>
      <c r="AN11" s="380"/>
      <c r="AO11" s="380"/>
      <c r="AP11" s="380" t="s">
        <v>67</v>
      </c>
      <c r="AQ11" s="380"/>
      <c r="AR11" s="380"/>
      <c r="AS11" s="380" t="s">
        <v>66</v>
      </c>
      <c r="AT11" s="380"/>
      <c r="AU11" s="380"/>
      <c r="AV11" s="380" t="s">
        <v>67</v>
      </c>
      <c r="AW11" s="380"/>
      <c r="AX11" s="380"/>
      <c r="AY11" s="380" t="s">
        <v>66</v>
      </c>
      <c r="AZ11" s="380"/>
      <c r="BA11" s="380"/>
      <c r="BB11" s="380" t="s">
        <v>67</v>
      </c>
      <c r="BC11" s="380"/>
      <c r="BD11" s="380"/>
      <c r="BE11" s="380" t="s">
        <v>66</v>
      </c>
      <c r="BF11" s="380"/>
      <c r="BG11" s="380"/>
      <c r="BH11" s="380" t="s">
        <v>67</v>
      </c>
      <c r="BI11" s="380"/>
      <c r="BJ11" s="380"/>
    </row>
    <row r="12" spans="1:62" s="52" customFormat="1" ht="28.5" customHeight="1">
      <c r="A12" s="392"/>
      <c r="B12" s="395"/>
      <c r="C12" s="379" t="s">
        <v>68</v>
      </c>
      <c r="D12" s="379"/>
      <c r="E12" s="383" t="s">
        <v>69</v>
      </c>
      <c r="F12" s="379" t="s">
        <v>68</v>
      </c>
      <c r="G12" s="379"/>
      <c r="H12" s="383" t="s">
        <v>69</v>
      </c>
      <c r="I12" s="379" t="s">
        <v>68</v>
      </c>
      <c r="J12" s="379"/>
      <c r="K12" s="383" t="s">
        <v>69</v>
      </c>
      <c r="L12" s="379" t="s">
        <v>68</v>
      </c>
      <c r="M12" s="379"/>
      <c r="N12" s="383" t="s">
        <v>69</v>
      </c>
      <c r="O12" s="379" t="s">
        <v>68</v>
      </c>
      <c r="P12" s="379"/>
      <c r="Q12" s="383" t="s">
        <v>69</v>
      </c>
      <c r="R12" s="379" t="s">
        <v>68</v>
      </c>
      <c r="S12" s="379"/>
      <c r="T12" s="383" t="s">
        <v>69</v>
      </c>
      <c r="U12" s="379" t="s">
        <v>68</v>
      </c>
      <c r="V12" s="379"/>
      <c r="W12" s="383" t="s">
        <v>69</v>
      </c>
      <c r="X12" s="379" t="s">
        <v>68</v>
      </c>
      <c r="Y12" s="379"/>
      <c r="Z12" s="383" t="s">
        <v>69</v>
      </c>
      <c r="AA12" s="379" t="s">
        <v>68</v>
      </c>
      <c r="AB12" s="379"/>
      <c r="AC12" s="383" t="s">
        <v>69</v>
      </c>
      <c r="AD12" s="379" t="s">
        <v>68</v>
      </c>
      <c r="AE12" s="379"/>
      <c r="AF12" s="383" t="s">
        <v>69</v>
      </c>
      <c r="AG12" s="379" t="s">
        <v>68</v>
      </c>
      <c r="AH12" s="379"/>
      <c r="AI12" s="383" t="s">
        <v>69</v>
      </c>
      <c r="AJ12" s="379" t="s">
        <v>68</v>
      </c>
      <c r="AK12" s="379"/>
      <c r="AL12" s="383" t="s">
        <v>69</v>
      </c>
      <c r="AM12" s="379" t="s">
        <v>68</v>
      </c>
      <c r="AN12" s="379"/>
      <c r="AO12" s="383" t="s">
        <v>69</v>
      </c>
      <c r="AP12" s="379" t="s">
        <v>68</v>
      </c>
      <c r="AQ12" s="379"/>
      <c r="AR12" s="383" t="s">
        <v>69</v>
      </c>
      <c r="AS12" s="379" t="s">
        <v>68</v>
      </c>
      <c r="AT12" s="379"/>
      <c r="AU12" s="383" t="s">
        <v>69</v>
      </c>
      <c r="AV12" s="379" t="s">
        <v>68</v>
      </c>
      <c r="AW12" s="379"/>
      <c r="AX12" s="383" t="s">
        <v>69</v>
      </c>
      <c r="AY12" s="379" t="s">
        <v>68</v>
      </c>
      <c r="AZ12" s="379"/>
      <c r="BA12" s="383" t="s">
        <v>69</v>
      </c>
      <c r="BB12" s="379" t="s">
        <v>68</v>
      </c>
      <c r="BC12" s="379"/>
      <c r="BD12" s="383" t="s">
        <v>69</v>
      </c>
      <c r="BE12" s="379" t="s">
        <v>68</v>
      </c>
      <c r="BF12" s="379"/>
      <c r="BG12" s="383" t="s">
        <v>69</v>
      </c>
      <c r="BH12" s="379" t="s">
        <v>68</v>
      </c>
      <c r="BI12" s="379"/>
      <c r="BJ12" s="383" t="s">
        <v>69</v>
      </c>
    </row>
    <row r="13" spans="1:62" s="56" customFormat="1" ht="13.5" customHeight="1">
      <c r="A13" s="53"/>
      <c r="B13" s="54"/>
      <c r="C13" s="55" t="s">
        <v>70</v>
      </c>
      <c r="D13" s="55" t="s">
        <v>71</v>
      </c>
      <c r="E13" s="384"/>
      <c r="F13" s="55" t="s">
        <v>70</v>
      </c>
      <c r="G13" s="55" t="s">
        <v>71</v>
      </c>
      <c r="H13" s="384"/>
      <c r="I13" s="55" t="s">
        <v>70</v>
      </c>
      <c r="J13" s="55" t="s">
        <v>72</v>
      </c>
      <c r="K13" s="384"/>
      <c r="L13" s="55" t="s">
        <v>70</v>
      </c>
      <c r="M13" s="55" t="s">
        <v>72</v>
      </c>
      <c r="N13" s="384"/>
      <c r="O13" s="55" t="s">
        <v>70</v>
      </c>
      <c r="P13" s="55" t="s">
        <v>73</v>
      </c>
      <c r="Q13" s="384"/>
      <c r="R13" s="55" t="s">
        <v>70</v>
      </c>
      <c r="S13" s="55" t="s">
        <v>73</v>
      </c>
      <c r="T13" s="384"/>
      <c r="U13" s="55" t="s">
        <v>70</v>
      </c>
      <c r="V13" s="55" t="s">
        <v>113</v>
      </c>
      <c r="W13" s="384"/>
      <c r="X13" s="55" t="s">
        <v>70</v>
      </c>
      <c r="Y13" s="55" t="s">
        <v>113</v>
      </c>
      <c r="Z13" s="384"/>
      <c r="AA13" s="55" t="s">
        <v>70</v>
      </c>
      <c r="AB13" s="55" t="s">
        <v>71</v>
      </c>
      <c r="AC13" s="384"/>
      <c r="AD13" s="55" t="s">
        <v>70</v>
      </c>
      <c r="AE13" s="55" t="s">
        <v>71</v>
      </c>
      <c r="AF13" s="384"/>
      <c r="AG13" s="55" t="s">
        <v>70</v>
      </c>
      <c r="AH13" s="55" t="s">
        <v>72</v>
      </c>
      <c r="AI13" s="384"/>
      <c r="AJ13" s="55" t="s">
        <v>70</v>
      </c>
      <c r="AK13" s="55" t="s">
        <v>72</v>
      </c>
      <c r="AL13" s="384"/>
      <c r="AM13" s="55" t="s">
        <v>70</v>
      </c>
      <c r="AN13" s="55" t="s">
        <v>73</v>
      </c>
      <c r="AO13" s="384"/>
      <c r="AP13" s="55" t="s">
        <v>70</v>
      </c>
      <c r="AQ13" s="55" t="s">
        <v>73</v>
      </c>
      <c r="AR13" s="384"/>
      <c r="AS13" s="55" t="s">
        <v>70</v>
      </c>
      <c r="AT13" s="55" t="s">
        <v>73</v>
      </c>
      <c r="AU13" s="384"/>
      <c r="AV13" s="55" t="s">
        <v>70</v>
      </c>
      <c r="AW13" s="55" t="s">
        <v>73</v>
      </c>
      <c r="AX13" s="384"/>
      <c r="AY13" s="381" t="s">
        <v>70</v>
      </c>
      <c r="AZ13" s="382"/>
      <c r="BA13" s="384"/>
      <c r="BB13" s="381" t="s">
        <v>70</v>
      </c>
      <c r="BC13" s="382"/>
      <c r="BD13" s="384"/>
      <c r="BE13" s="381" t="s">
        <v>70</v>
      </c>
      <c r="BF13" s="382"/>
      <c r="BG13" s="384"/>
      <c r="BH13" s="381" t="s">
        <v>70</v>
      </c>
      <c r="BI13" s="382"/>
      <c r="BJ13" s="384"/>
    </row>
    <row r="14" spans="1:65" s="63" customFormat="1" ht="90" customHeight="1">
      <c r="A14" s="57"/>
      <c r="B14" s="58" t="s">
        <v>114</v>
      </c>
      <c r="C14" s="59">
        <v>909</v>
      </c>
      <c r="D14" s="60">
        <v>1485719.73179</v>
      </c>
      <c r="E14" s="60">
        <v>689.53171</v>
      </c>
      <c r="F14" s="241">
        <v>816</v>
      </c>
      <c r="G14" s="60">
        <v>1329445.85331822</v>
      </c>
      <c r="H14" s="60">
        <v>597.42852</v>
      </c>
      <c r="I14" s="59">
        <v>556</v>
      </c>
      <c r="J14" s="60">
        <v>2291.6586791071</v>
      </c>
      <c r="K14" s="60">
        <v>411.56328</v>
      </c>
      <c r="L14" s="241">
        <v>329</v>
      </c>
      <c r="M14" s="60">
        <v>1358.8705068076</v>
      </c>
      <c r="N14" s="60">
        <v>236.45116</v>
      </c>
      <c r="O14" s="59">
        <v>586</v>
      </c>
      <c r="P14" s="60">
        <v>716.62020248619</v>
      </c>
      <c r="Q14" s="60">
        <v>503.30557</v>
      </c>
      <c r="R14" s="241">
        <v>285</v>
      </c>
      <c r="S14" s="60">
        <v>297.8545026225</v>
      </c>
      <c r="T14" s="60">
        <v>219.98908</v>
      </c>
      <c r="U14" s="59">
        <v>445</v>
      </c>
      <c r="V14" s="60">
        <v>1066.65925515325</v>
      </c>
      <c r="W14" s="60">
        <v>263.71718</v>
      </c>
      <c r="X14" s="241">
        <v>144</v>
      </c>
      <c r="Y14" s="60">
        <v>343.325143790849</v>
      </c>
      <c r="Z14" s="60">
        <v>73.46518999999999</v>
      </c>
      <c r="AA14" s="60">
        <v>204</v>
      </c>
      <c r="AB14" s="60">
        <v>142526.306103896</v>
      </c>
      <c r="AC14" s="60">
        <v>180.45448</v>
      </c>
      <c r="AD14" s="242">
        <v>169</v>
      </c>
      <c r="AE14" s="60">
        <v>125785.532106782</v>
      </c>
      <c r="AF14" s="60">
        <v>124.1101</v>
      </c>
      <c r="AG14" s="59">
        <v>2172</v>
      </c>
      <c r="AH14" s="60">
        <v>6587.918683146</v>
      </c>
      <c r="AI14" s="60">
        <v>2243.85423</v>
      </c>
      <c r="AJ14" s="241">
        <v>648</v>
      </c>
      <c r="AK14" s="60">
        <v>2004.432584933</v>
      </c>
      <c r="AL14" s="60">
        <v>648.04131</v>
      </c>
      <c r="AM14" s="59">
        <v>667</v>
      </c>
      <c r="AN14" s="60">
        <v>550.1987857545</v>
      </c>
      <c r="AO14" s="60">
        <v>1115.00489</v>
      </c>
      <c r="AP14" s="241">
        <v>441</v>
      </c>
      <c r="AQ14" s="60">
        <v>320.17477643643</v>
      </c>
      <c r="AR14" s="60">
        <v>863.2813161190015</v>
      </c>
      <c r="AS14" s="59">
        <v>1782</v>
      </c>
      <c r="AT14" s="60">
        <v>2311.136839018289</v>
      </c>
      <c r="AU14" s="60">
        <v>2611.3575738810005</v>
      </c>
      <c r="AV14" s="241">
        <v>1002</v>
      </c>
      <c r="AW14" s="60">
        <v>1017.8444</v>
      </c>
      <c r="AX14" s="60">
        <v>1228.194225</v>
      </c>
      <c r="AY14" s="61">
        <v>0</v>
      </c>
      <c r="AZ14" s="62">
        <v>0</v>
      </c>
      <c r="BA14" s="62">
        <v>0</v>
      </c>
      <c r="BB14" s="61">
        <v>0</v>
      </c>
      <c r="BC14" s="62">
        <v>0</v>
      </c>
      <c r="BD14" s="62">
        <v>0</v>
      </c>
      <c r="BE14" s="378">
        <f>SUM(C14,I14,O14,U14,AA14,AG14,AM14,AS14,AY14)</f>
        <v>7321</v>
      </c>
      <c r="BF14" s="378"/>
      <c r="BG14" s="60">
        <f>SUM(E14,K14,Q14,W14,AC14,AI14,AO14,AU14,BA14)</f>
        <v>8018.788913881001</v>
      </c>
      <c r="BH14" s="378">
        <f>SUM(F14,L14,R14,X14,AD14,AJ14,AP14,AV14,BB14)</f>
        <v>3834</v>
      </c>
      <c r="BI14" s="378"/>
      <c r="BJ14" s="60">
        <f>SUM(H14,N14,T14,Z14,AF14,AL14,AR14,AX14,BD14)</f>
        <v>3990.9609011190014</v>
      </c>
      <c r="BK14" s="232">
        <f>BG14+BJ14</f>
        <v>12009.749815000003</v>
      </c>
      <c r="BL14" s="63">
        <f>SUM('Part-II'!K30:M30)</f>
        <v>12056.749815000001</v>
      </c>
      <c r="BM14" s="295">
        <f>BL14-BK14</f>
        <v>46.99999999999818</v>
      </c>
    </row>
    <row r="15" spans="2:63" s="286" customFormat="1" ht="88.5" customHeight="1">
      <c r="B15" s="287"/>
      <c r="D15" s="64"/>
      <c r="G15" s="64"/>
      <c r="J15" s="64"/>
      <c r="M15" s="64"/>
      <c r="P15" s="64"/>
      <c r="S15" s="64"/>
      <c r="V15" s="64"/>
      <c r="Y15" s="64"/>
      <c r="AB15" s="64"/>
      <c r="AE15" s="64"/>
      <c r="AH15" s="64"/>
      <c r="AK15" s="64"/>
      <c r="AN15" s="64"/>
      <c r="AQ15" s="64"/>
      <c r="AT15" s="64"/>
      <c r="AW15" s="64"/>
      <c r="BE15" s="288"/>
      <c r="BF15" s="289"/>
      <c r="BG15" s="64"/>
      <c r="BH15" s="288"/>
      <c r="BI15" s="288"/>
      <c r="BJ15" s="64"/>
      <c r="BK15" s="232"/>
    </row>
    <row r="16" spans="2:63" s="275" customFormat="1" ht="62.25" customHeight="1">
      <c r="B16" s="279"/>
      <c r="C16" s="286"/>
      <c r="D16" s="64"/>
      <c r="E16" s="286"/>
      <c r="F16" s="286"/>
      <c r="G16" s="64"/>
      <c r="H16" s="286"/>
      <c r="I16" s="286"/>
      <c r="J16" s="64"/>
      <c r="K16" s="286"/>
      <c r="L16" s="286"/>
      <c r="M16" s="64"/>
      <c r="N16" s="286"/>
      <c r="O16" s="286"/>
      <c r="P16" s="64"/>
      <c r="Q16" s="286"/>
      <c r="R16" s="286"/>
      <c r="S16" s="64"/>
      <c r="T16" s="286"/>
      <c r="U16" s="286"/>
      <c r="V16" s="64"/>
      <c r="W16" s="286"/>
      <c r="X16" s="286"/>
      <c r="Y16" s="64"/>
      <c r="Z16" s="286"/>
      <c r="AA16" s="286"/>
      <c r="AB16" s="64"/>
      <c r="AC16" s="286"/>
      <c r="AD16" s="286"/>
      <c r="AE16" s="64"/>
      <c r="AF16" s="286"/>
      <c r="AG16" s="286"/>
      <c r="AH16" s="64"/>
      <c r="AI16" s="286"/>
      <c r="AJ16" s="286"/>
      <c r="AK16" s="64"/>
      <c r="AL16" s="286"/>
      <c r="AM16" s="286"/>
      <c r="AN16" s="64"/>
      <c r="AO16" s="286"/>
      <c r="AP16" s="286"/>
      <c r="AQ16" s="64"/>
      <c r="AR16" s="286"/>
      <c r="AS16" s="286"/>
      <c r="AT16" s="64"/>
      <c r="AU16" s="286"/>
      <c r="AV16" s="286"/>
      <c r="AW16" s="64"/>
      <c r="AX16" s="286"/>
      <c r="AY16" s="280"/>
      <c r="BE16" s="95"/>
      <c r="BF16" s="281"/>
      <c r="BG16" s="64"/>
      <c r="BH16" s="281"/>
      <c r="BI16" s="282"/>
      <c r="BJ16" s="64"/>
      <c r="BK16" s="232"/>
    </row>
    <row r="17" spans="3:62" s="178" customFormat="1" ht="56.25" customHeight="1">
      <c r="C17" s="286"/>
      <c r="D17" s="64"/>
      <c r="E17" s="286"/>
      <c r="F17" s="286"/>
      <c r="G17" s="64"/>
      <c r="H17" s="286"/>
      <c r="I17" s="286"/>
      <c r="J17" s="64"/>
      <c r="K17" s="286"/>
      <c r="L17" s="286"/>
      <c r="M17" s="64"/>
      <c r="N17" s="286"/>
      <c r="O17" s="286"/>
      <c r="P17" s="64"/>
      <c r="Q17" s="286"/>
      <c r="R17" s="286"/>
      <c r="S17" s="64"/>
      <c r="T17" s="286"/>
      <c r="U17" s="286"/>
      <c r="V17" s="64"/>
      <c r="W17" s="286"/>
      <c r="X17" s="286"/>
      <c r="Y17" s="64"/>
      <c r="Z17" s="286"/>
      <c r="AA17" s="286"/>
      <c r="AB17" s="64"/>
      <c r="AC17" s="286"/>
      <c r="AD17" s="286"/>
      <c r="AE17" s="64"/>
      <c r="AF17" s="286"/>
      <c r="AG17" s="286"/>
      <c r="AH17" s="64"/>
      <c r="AI17" s="286"/>
      <c r="AJ17" s="286"/>
      <c r="AK17" s="64"/>
      <c r="AL17" s="286"/>
      <c r="AM17" s="286"/>
      <c r="AN17" s="64"/>
      <c r="AO17" s="286"/>
      <c r="AP17" s="286"/>
      <c r="AQ17" s="64"/>
      <c r="AR17" s="286"/>
      <c r="AS17" s="286"/>
      <c r="AT17" s="64"/>
      <c r="AU17" s="286"/>
      <c r="AV17" s="286"/>
      <c r="AW17" s="64"/>
      <c r="AX17" s="286"/>
      <c r="AY17" s="299"/>
      <c r="AZ17" s="299"/>
      <c r="BA17" s="299"/>
      <c r="BE17" s="292"/>
      <c r="BF17" s="293"/>
      <c r="BG17" s="293"/>
      <c r="BH17" s="293"/>
      <c r="BI17" s="293"/>
      <c r="BJ17" s="293"/>
    </row>
    <row r="18" spans="2:62" s="290" customFormat="1" ht="18.75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286"/>
      <c r="AP18" s="178"/>
      <c r="AQ18" s="178"/>
      <c r="AR18" s="286"/>
      <c r="AS18" s="178"/>
      <c r="AT18" s="178"/>
      <c r="AU18" s="178"/>
      <c r="AV18" s="178"/>
      <c r="AW18" s="178"/>
      <c r="AX18" s="178"/>
      <c r="AZ18" s="291"/>
      <c r="BA18" s="291"/>
      <c r="BE18" s="292"/>
      <c r="BF18" s="293"/>
      <c r="BG18" s="293"/>
      <c r="BH18" s="293"/>
      <c r="BI18" s="294"/>
      <c r="BJ18" s="294"/>
    </row>
    <row r="19" spans="3:57" s="290" customFormat="1" ht="16.5">
      <c r="C19" s="178"/>
      <c r="D19" s="178"/>
      <c r="E19" s="178"/>
      <c r="I19" s="178"/>
      <c r="J19" s="178"/>
      <c r="K19" s="178"/>
      <c r="O19" s="178"/>
      <c r="P19" s="178"/>
      <c r="Q19" s="178"/>
      <c r="U19" s="178"/>
      <c r="V19" s="178"/>
      <c r="W19" s="178"/>
      <c r="AA19" s="178"/>
      <c r="AB19" s="178"/>
      <c r="AC19" s="178"/>
      <c r="AG19" s="178"/>
      <c r="AH19" s="178"/>
      <c r="AI19" s="178"/>
      <c r="AM19" s="178"/>
      <c r="AN19" s="178"/>
      <c r="AO19" s="178"/>
      <c r="AS19" s="178"/>
      <c r="AT19" s="178"/>
      <c r="AU19" s="178"/>
      <c r="BE19" s="300" t="s">
        <v>136</v>
      </c>
    </row>
    <row r="20" spans="3:57" ht="16.5">
      <c r="C20" s="66"/>
      <c r="E20" s="66"/>
      <c r="F20" s="66"/>
      <c r="G20" s="66"/>
      <c r="I20" s="66"/>
      <c r="K20" s="66"/>
      <c r="L20" s="66"/>
      <c r="M20" s="66"/>
      <c r="O20" s="66"/>
      <c r="Q20" s="66"/>
      <c r="R20" s="66"/>
      <c r="S20" s="66"/>
      <c r="U20" s="66"/>
      <c r="W20" s="66"/>
      <c r="X20" s="66"/>
      <c r="Y20" s="66"/>
      <c r="AA20" s="66"/>
      <c r="AC20" s="66"/>
      <c r="AD20" s="66"/>
      <c r="AE20" s="66"/>
      <c r="AG20" s="66"/>
      <c r="AI20" s="66"/>
      <c r="AJ20" s="66"/>
      <c r="AK20" s="66"/>
      <c r="AM20" s="66"/>
      <c r="AO20" s="66"/>
      <c r="AP20" s="66"/>
      <c r="AQ20" s="66"/>
      <c r="AR20" s="290"/>
      <c r="AS20" s="66"/>
      <c r="AU20" s="66"/>
      <c r="AV20" s="66"/>
      <c r="AW20" s="66"/>
      <c r="BE20" s="97" t="s">
        <v>117</v>
      </c>
    </row>
    <row r="21" spans="3:49" ht="15">
      <c r="C21" s="66"/>
      <c r="E21" s="66"/>
      <c r="F21" s="66"/>
      <c r="G21" s="66"/>
      <c r="I21" s="66"/>
      <c r="K21" s="66"/>
      <c r="L21" s="66"/>
      <c r="M21" s="66"/>
      <c r="O21" s="66"/>
      <c r="Q21" s="66"/>
      <c r="R21" s="66"/>
      <c r="S21" s="66"/>
      <c r="U21" s="66"/>
      <c r="W21" s="66"/>
      <c r="X21" s="66"/>
      <c r="Y21" s="66"/>
      <c r="AA21" s="66"/>
      <c r="AC21" s="66"/>
      <c r="AD21" s="66"/>
      <c r="AE21" s="66"/>
      <c r="AG21" s="66"/>
      <c r="AI21" s="66"/>
      <c r="AJ21" s="66"/>
      <c r="AK21" s="66"/>
      <c r="AM21" s="66"/>
      <c r="AO21" s="66"/>
      <c r="AP21" s="66"/>
      <c r="AQ21" s="66"/>
      <c r="AS21" s="66"/>
      <c r="AU21" s="66"/>
      <c r="AV21" s="66"/>
      <c r="AW21" s="66"/>
    </row>
    <row r="22" spans="18:58" ht="15.75" customHeight="1">
      <c r="R22" s="400"/>
      <c r="S22" s="400"/>
      <c r="BF22" s="66"/>
    </row>
    <row r="23" spans="40:58" ht="15">
      <c r="AN23" s="66"/>
      <c r="AO23" s="155"/>
      <c r="AP23" s="66"/>
      <c r="AQ23" s="66"/>
      <c r="AR23" s="155"/>
      <c r="AS23" s="66"/>
      <c r="AT23" s="66"/>
      <c r="BF23" s="66"/>
    </row>
    <row r="24" spans="40:58" ht="15">
      <c r="AN24" s="66"/>
      <c r="AO24" s="155"/>
      <c r="AP24" s="66"/>
      <c r="AQ24" s="66"/>
      <c r="AR24" s="155"/>
      <c r="AS24" s="66"/>
      <c r="AT24" s="66"/>
      <c r="BF24" s="67"/>
    </row>
    <row r="25" spans="40:46" ht="15">
      <c r="AN25" s="66"/>
      <c r="AO25" s="155"/>
      <c r="AP25" s="66"/>
      <c r="AQ25" s="66"/>
      <c r="AR25" s="155"/>
      <c r="AS25" s="66"/>
      <c r="AT25" s="66"/>
    </row>
    <row r="26" spans="40:46" ht="15">
      <c r="AN26" s="66"/>
      <c r="AO26" s="155"/>
      <c r="AP26" s="66"/>
      <c r="AQ26" s="66"/>
      <c r="AR26" s="155"/>
      <c r="AS26" s="66"/>
      <c r="AT26" s="66"/>
    </row>
    <row r="27" spans="40:46" ht="15">
      <c r="AN27" s="66"/>
      <c r="AO27" s="155"/>
      <c r="AP27" s="66"/>
      <c r="AQ27" s="66"/>
      <c r="AR27" s="155"/>
      <c r="AS27" s="66"/>
      <c r="AT27" s="66"/>
    </row>
    <row r="28" spans="40:46" ht="15">
      <c r="AN28" s="66"/>
      <c r="AO28" s="155"/>
      <c r="AP28" s="66"/>
      <c r="AQ28" s="66"/>
      <c r="AR28" s="155"/>
      <c r="AS28" s="66"/>
      <c r="AT28" s="66"/>
    </row>
    <row r="29" spans="40:46" ht="15">
      <c r="AN29" s="66"/>
      <c r="AO29" s="155"/>
      <c r="AP29" s="66"/>
      <c r="AQ29" s="66"/>
      <c r="AR29" s="155"/>
      <c r="AS29" s="66"/>
      <c r="AT29" s="66"/>
    </row>
    <row r="30" spans="40:46" ht="15">
      <c r="AN30" s="66"/>
      <c r="AO30" s="155"/>
      <c r="AP30" s="66"/>
      <c r="AQ30" s="66"/>
      <c r="AR30" s="155"/>
      <c r="AS30" s="66"/>
      <c r="AT30" s="66"/>
    </row>
    <row r="31" spans="40:46" ht="15">
      <c r="AN31" s="66"/>
      <c r="AO31" s="155"/>
      <c r="AP31" s="66"/>
      <c r="AQ31" s="66"/>
      <c r="AR31" s="155"/>
      <c r="AS31" s="66"/>
      <c r="AT31" s="66"/>
    </row>
    <row r="32" spans="40:46" ht="15">
      <c r="AN32" s="66"/>
      <c r="AO32" s="155"/>
      <c r="AP32" s="66"/>
      <c r="AQ32" s="66"/>
      <c r="AR32" s="155"/>
      <c r="AS32" s="66"/>
      <c r="AT32" s="66"/>
    </row>
    <row r="33" spans="40:46" ht="15">
      <c r="AN33" s="66"/>
      <c r="AO33" s="155"/>
      <c r="AP33" s="66"/>
      <c r="AQ33" s="66"/>
      <c r="AR33" s="155"/>
      <c r="AS33" s="66"/>
      <c r="AT33" s="66"/>
    </row>
    <row r="34" spans="40:46" ht="15">
      <c r="AN34" s="66"/>
      <c r="AO34" s="155"/>
      <c r="AP34" s="66"/>
      <c r="AQ34" s="66"/>
      <c r="AR34" s="155"/>
      <c r="AS34" s="66"/>
      <c r="AT34" s="66"/>
    </row>
    <row r="35" spans="40:46" ht="15">
      <c r="AN35" s="66"/>
      <c r="AO35" s="155"/>
      <c r="AP35" s="66"/>
      <c r="AQ35" s="66"/>
      <c r="AR35" s="155"/>
      <c r="AS35" s="66"/>
      <c r="AT35" s="66"/>
    </row>
    <row r="36" spans="40:45" ht="15">
      <c r="AN36" s="66"/>
      <c r="AO36" s="66"/>
      <c r="AP36" s="66"/>
      <c r="AQ36" s="66"/>
      <c r="AR36" s="66"/>
      <c r="AS36" s="66"/>
    </row>
  </sheetData>
  <sheetProtection/>
  <mergeCells count="101">
    <mergeCell ref="R22:S22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AU12:AU13"/>
    <mergeCell ref="BE14:BF14"/>
    <mergeCell ref="BH14:BI14"/>
    <mergeCell ref="BE12:BF12"/>
    <mergeCell ref="BE10:BJ10"/>
    <mergeCell ref="BH11:BJ11"/>
    <mergeCell ref="BH13:BI13"/>
    <mergeCell ref="BG12:BG13"/>
    <mergeCell ref="BH12:BI12"/>
    <mergeCell ref="BJ12:BJ13"/>
  </mergeCells>
  <conditionalFormatting sqref="AZ15:BA16 AX15:AY15 C15:C17 AO18 AR18 E15:F17 H15:I17 K15:L17 N15:O17 Q15:R17 T15:U17 W15:X17 Z15:AA17 AC15:AD17 AF15:AG17 AI15:AJ17 AL15:AM17 AO15:AP17 AR15:AS17 AU15:AV17 AX16:AX17">
    <cfRule type="cellIs" priority="1" dxfId="2" operator="lessThan" stopIfTrue="1">
      <formula>0</formula>
    </cfRule>
  </conditionalFormatting>
  <conditionalFormatting sqref="C20 A19:B19 E20 I20 O20 U20 AA20 AG20 AM20 AS20 Q20 W20 AC20 AI20 AO20 AU20 K20 F19:H19 L19:N19 R19:T19 X19:Z19 AD19:AF19 AJ19:AL19 AP19:AR19 AV19:IV19">
    <cfRule type="cellIs" priority="2" dxfId="0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6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8" sqref="D28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3" width="9.140625" style="28" customWidth="1"/>
    <col min="14" max="14" width="10.00390625" style="28" bestFit="1" customWidth="1"/>
    <col min="15" max="16384" width="9.140625" style="28" customWidth="1"/>
  </cols>
  <sheetData>
    <row r="1" spans="11:12" ht="15.75">
      <c r="K1" s="402" t="s">
        <v>77</v>
      </c>
      <c r="L1" s="402"/>
    </row>
    <row r="2" spans="1:12" ht="23.25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404" t="s">
        <v>37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ht="11.25" customHeight="1"/>
    <row r="6" spans="1:12" ht="18.75">
      <c r="A6" s="405" t="s">
        <v>144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8" spans="1:12" ht="77.25" customHeight="1">
      <c r="A8" s="406" t="s">
        <v>0</v>
      </c>
      <c r="B8" s="406" t="s">
        <v>40</v>
      </c>
      <c r="C8" s="406" t="s">
        <v>74</v>
      </c>
      <c r="D8" s="406"/>
      <c r="E8" s="406" t="s">
        <v>78</v>
      </c>
      <c r="F8" s="406"/>
      <c r="G8" s="406" t="s">
        <v>79</v>
      </c>
      <c r="H8" s="406"/>
      <c r="I8" s="406" t="s">
        <v>80</v>
      </c>
      <c r="J8" s="406"/>
      <c r="K8" s="406" t="s">
        <v>81</v>
      </c>
      <c r="L8" s="406"/>
    </row>
    <row r="9" spans="1:12" ht="15">
      <c r="A9" s="406"/>
      <c r="B9" s="406"/>
      <c r="C9" s="180" t="s">
        <v>75</v>
      </c>
      <c r="D9" s="180" t="s">
        <v>76</v>
      </c>
      <c r="E9" s="180" t="s">
        <v>75</v>
      </c>
      <c r="F9" s="180" t="s">
        <v>76</v>
      </c>
      <c r="G9" s="180" t="s">
        <v>75</v>
      </c>
      <c r="H9" s="180" t="s">
        <v>76</v>
      </c>
      <c r="I9" s="180" t="s">
        <v>75</v>
      </c>
      <c r="J9" s="180" t="s">
        <v>76</v>
      </c>
      <c r="K9" s="180" t="s">
        <v>75</v>
      </c>
      <c r="L9" s="180" t="s">
        <v>104</v>
      </c>
    </row>
    <row r="10" spans="1:19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  <c r="R10"/>
      <c r="S10"/>
    </row>
    <row r="11" spans="1:23" s="34" customFormat="1" ht="18">
      <c r="A11" s="309">
        <v>1</v>
      </c>
      <c r="B11" s="310" t="s">
        <v>23</v>
      </c>
      <c r="C11" s="33">
        <f>N11-D11</f>
        <v>5319</v>
      </c>
      <c r="D11" s="169">
        <v>326</v>
      </c>
      <c r="E11" s="33">
        <v>428</v>
      </c>
      <c r="F11" s="33">
        <v>1</v>
      </c>
      <c r="G11" s="33">
        <v>391</v>
      </c>
      <c r="H11" s="33">
        <v>38</v>
      </c>
      <c r="I11" s="33">
        <v>0</v>
      </c>
      <c r="J11" s="33">
        <v>0</v>
      </c>
      <c r="K11" s="33">
        <v>0</v>
      </c>
      <c r="L11" s="33">
        <v>1</v>
      </c>
      <c r="M11" s="190"/>
      <c r="N11" s="34">
        <f>ROUND('Part-I'!P13/0.00098,0)</f>
        <v>5645</v>
      </c>
      <c r="O11" s="190">
        <f>G11+H11</f>
        <v>429</v>
      </c>
      <c r="P11" s="190">
        <f>O11/$O$24</f>
        <v>0.16237698713096138</v>
      </c>
      <c r="Q11" s="190">
        <f>ROUND($O$25*P11,0)</f>
        <v>429</v>
      </c>
      <c r="R11" s="190"/>
      <c r="S11" s="190">
        <f>E11+F11</f>
        <v>429</v>
      </c>
      <c r="T11" s="190">
        <v>429</v>
      </c>
      <c r="U11" s="190">
        <f>T11-H11</f>
        <v>391</v>
      </c>
      <c r="V11" s="190">
        <f>T11-F11</f>
        <v>428</v>
      </c>
      <c r="W11" s="190">
        <v>429</v>
      </c>
    </row>
    <row r="12" spans="1:23" s="34" customFormat="1" ht="18">
      <c r="A12" s="309">
        <v>2</v>
      </c>
      <c r="B12" s="310" t="s">
        <v>24</v>
      </c>
      <c r="C12" s="33">
        <f aca="true" t="shared" si="0" ref="C12:C23">N12-D12</f>
        <v>4953</v>
      </c>
      <c r="D12" s="169">
        <v>384</v>
      </c>
      <c r="E12" s="33">
        <v>642</v>
      </c>
      <c r="F12" s="33">
        <v>4</v>
      </c>
      <c r="G12" s="33">
        <v>608</v>
      </c>
      <c r="H12" s="36">
        <v>38</v>
      </c>
      <c r="I12" s="33">
        <v>0</v>
      </c>
      <c r="J12" s="33">
        <v>0</v>
      </c>
      <c r="K12" s="33">
        <v>0</v>
      </c>
      <c r="L12" s="33">
        <v>0</v>
      </c>
      <c r="M12" s="190"/>
      <c r="N12" s="34">
        <f>ROUND('Part-I'!P14/0.00098,0)</f>
        <v>5337</v>
      </c>
      <c r="O12" s="190">
        <f aca="true" t="shared" si="1" ref="O12:O23">G12+H12</f>
        <v>646</v>
      </c>
      <c r="P12" s="190">
        <f aca="true" t="shared" si="2" ref="P12:P23">O12/$O$24</f>
        <v>0.24451173353520061</v>
      </c>
      <c r="Q12" s="190">
        <f aca="true" t="shared" si="3" ref="Q12:Q23">ROUND($O$25*P12,0)</f>
        <v>646</v>
      </c>
      <c r="R12" s="190"/>
      <c r="S12" s="190">
        <f aca="true" t="shared" si="4" ref="S12:S23">E12+F12</f>
        <v>646</v>
      </c>
      <c r="T12" s="190">
        <v>646</v>
      </c>
      <c r="U12" s="190">
        <f aca="true" t="shared" si="5" ref="U12:U23">T12-H12</f>
        <v>608</v>
      </c>
      <c r="V12" s="190">
        <f aca="true" t="shared" si="6" ref="V12:V23">T12-F12</f>
        <v>642</v>
      </c>
      <c r="W12" s="190">
        <v>646</v>
      </c>
    </row>
    <row r="13" spans="1:23" s="34" customFormat="1" ht="18.75" customHeight="1">
      <c r="A13" s="309">
        <v>3</v>
      </c>
      <c r="B13" s="310" t="s">
        <v>25</v>
      </c>
      <c r="C13" s="33">
        <f t="shared" si="0"/>
        <v>13289</v>
      </c>
      <c r="D13" s="169">
        <v>658</v>
      </c>
      <c r="E13" s="33">
        <v>1033</v>
      </c>
      <c r="F13" s="33">
        <v>10</v>
      </c>
      <c r="G13" s="33">
        <v>1001</v>
      </c>
      <c r="H13" s="33">
        <v>42</v>
      </c>
      <c r="I13" s="33">
        <v>0</v>
      </c>
      <c r="J13" s="33">
        <v>0</v>
      </c>
      <c r="K13" s="33">
        <v>3</v>
      </c>
      <c r="L13" s="33">
        <v>0</v>
      </c>
      <c r="M13" s="190"/>
      <c r="N13" s="34">
        <f>ROUND('Part-I'!P15/0.00098,0)</f>
        <v>13947</v>
      </c>
      <c r="O13" s="190">
        <f t="shared" si="1"/>
        <v>1043</v>
      </c>
      <c r="P13" s="190">
        <f t="shared" si="2"/>
        <v>0.394776684330053</v>
      </c>
      <c r="Q13" s="190">
        <f t="shared" si="3"/>
        <v>1043</v>
      </c>
      <c r="R13" s="190"/>
      <c r="S13" s="190">
        <f t="shared" si="4"/>
        <v>1043</v>
      </c>
      <c r="T13" s="190">
        <v>1043</v>
      </c>
      <c r="U13" s="190">
        <f t="shared" si="5"/>
        <v>1001</v>
      </c>
      <c r="V13" s="190">
        <f t="shared" si="6"/>
        <v>1033</v>
      </c>
      <c r="W13" s="190">
        <v>1043</v>
      </c>
    </row>
    <row r="14" spans="1:23" s="34" customFormat="1" ht="18">
      <c r="A14" s="309">
        <v>4</v>
      </c>
      <c r="B14" s="310" t="s">
        <v>26</v>
      </c>
      <c r="C14" s="33">
        <f t="shared" si="0"/>
        <v>3735</v>
      </c>
      <c r="D14" s="169">
        <v>1548</v>
      </c>
      <c r="E14" s="33">
        <v>438</v>
      </c>
      <c r="F14" s="33">
        <v>3</v>
      </c>
      <c r="G14" s="33">
        <v>407</v>
      </c>
      <c r="H14" s="33">
        <v>34</v>
      </c>
      <c r="I14" s="33">
        <v>0</v>
      </c>
      <c r="J14" s="33">
        <v>0</v>
      </c>
      <c r="K14" s="33">
        <v>1</v>
      </c>
      <c r="L14" s="33">
        <v>1</v>
      </c>
      <c r="M14" s="190"/>
      <c r="N14" s="34">
        <f>ROUND('Part-I'!P16/0.00098,0)</f>
        <v>5283</v>
      </c>
      <c r="O14" s="190">
        <f t="shared" si="1"/>
        <v>441</v>
      </c>
      <c r="P14" s="190">
        <f t="shared" si="2"/>
        <v>0.16691900075700228</v>
      </c>
      <c r="Q14" s="190">
        <f t="shared" si="3"/>
        <v>441</v>
      </c>
      <c r="R14" s="190"/>
      <c r="S14" s="190">
        <f t="shared" si="4"/>
        <v>441</v>
      </c>
      <c r="T14" s="190">
        <v>441</v>
      </c>
      <c r="U14" s="190">
        <f t="shared" si="5"/>
        <v>407</v>
      </c>
      <c r="V14" s="190">
        <f t="shared" si="6"/>
        <v>438</v>
      </c>
      <c r="W14" s="190">
        <v>441</v>
      </c>
    </row>
    <row r="15" spans="1:23" s="34" customFormat="1" ht="18">
      <c r="A15" s="309">
        <v>5</v>
      </c>
      <c r="B15" s="310" t="s">
        <v>27</v>
      </c>
      <c r="C15" s="33">
        <f t="shared" si="0"/>
        <v>6775</v>
      </c>
      <c r="D15" s="169">
        <v>189</v>
      </c>
      <c r="E15" s="33">
        <v>611</v>
      </c>
      <c r="F15" s="33">
        <v>3</v>
      </c>
      <c r="G15" s="33">
        <v>582</v>
      </c>
      <c r="H15" s="33">
        <v>32</v>
      </c>
      <c r="I15" s="33">
        <v>0</v>
      </c>
      <c r="J15" s="33">
        <v>0</v>
      </c>
      <c r="K15" s="33">
        <v>0</v>
      </c>
      <c r="L15" s="33">
        <v>1</v>
      </c>
      <c r="M15" s="190"/>
      <c r="N15" s="34">
        <f>ROUND('Part-I'!P17/0.00098,0)</f>
        <v>6964</v>
      </c>
      <c r="O15" s="190">
        <f t="shared" si="1"/>
        <v>614</v>
      </c>
      <c r="P15" s="190">
        <f t="shared" si="2"/>
        <v>0.2323996971990916</v>
      </c>
      <c r="Q15" s="190">
        <f t="shared" si="3"/>
        <v>614</v>
      </c>
      <c r="R15" s="190"/>
      <c r="S15" s="190">
        <f t="shared" si="4"/>
        <v>614</v>
      </c>
      <c r="T15" s="190">
        <v>614</v>
      </c>
      <c r="U15" s="190">
        <f t="shared" si="5"/>
        <v>582</v>
      </c>
      <c r="V15" s="190">
        <f t="shared" si="6"/>
        <v>611</v>
      </c>
      <c r="W15" s="190">
        <v>614</v>
      </c>
    </row>
    <row r="16" spans="1:23" s="34" customFormat="1" ht="18">
      <c r="A16" s="311">
        <v>6</v>
      </c>
      <c r="B16" s="312" t="s">
        <v>28</v>
      </c>
      <c r="C16" s="33">
        <f t="shared" si="0"/>
        <v>7655</v>
      </c>
      <c r="D16" s="169">
        <v>53</v>
      </c>
      <c r="E16" s="33">
        <v>147</v>
      </c>
      <c r="F16" s="33">
        <v>1</v>
      </c>
      <c r="G16" s="33">
        <v>101</v>
      </c>
      <c r="H16" s="33">
        <v>47</v>
      </c>
      <c r="I16" s="33">
        <v>0</v>
      </c>
      <c r="J16" s="33">
        <v>0</v>
      </c>
      <c r="K16" s="33">
        <v>1</v>
      </c>
      <c r="L16" s="33">
        <v>0</v>
      </c>
      <c r="M16" s="190"/>
      <c r="N16" s="34">
        <f>ROUND('Part-I'!P18/0.00098,0)</f>
        <v>7708</v>
      </c>
      <c r="O16" s="190">
        <f t="shared" si="1"/>
        <v>148</v>
      </c>
      <c r="P16" s="190">
        <f t="shared" si="2"/>
        <v>0.056018168054504165</v>
      </c>
      <c r="Q16" s="190">
        <f t="shared" si="3"/>
        <v>148</v>
      </c>
      <c r="R16" s="190"/>
      <c r="S16" s="190">
        <f t="shared" si="4"/>
        <v>148</v>
      </c>
      <c r="T16" s="190">
        <v>148</v>
      </c>
      <c r="U16" s="190">
        <f t="shared" si="5"/>
        <v>101</v>
      </c>
      <c r="V16" s="190">
        <f t="shared" si="6"/>
        <v>147</v>
      </c>
      <c r="W16" s="190">
        <v>148</v>
      </c>
    </row>
    <row r="17" spans="1:23" s="34" customFormat="1" ht="18">
      <c r="A17" s="309">
        <v>7</v>
      </c>
      <c r="B17" s="310" t="s">
        <v>29</v>
      </c>
      <c r="C17" s="33">
        <f t="shared" si="0"/>
        <v>7451</v>
      </c>
      <c r="D17" s="169">
        <v>185</v>
      </c>
      <c r="E17" s="33">
        <v>567</v>
      </c>
      <c r="F17" s="33">
        <v>10</v>
      </c>
      <c r="G17" s="33">
        <v>547</v>
      </c>
      <c r="H17" s="33">
        <v>30</v>
      </c>
      <c r="I17" s="33">
        <v>0</v>
      </c>
      <c r="J17" s="33">
        <v>0</v>
      </c>
      <c r="K17" s="33">
        <v>0</v>
      </c>
      <c r="L17" s="33">
        <v>0</v>
      </c>
      <c r="M17" s="190"/>
      <c r="N17" s="34">
        <f>ROUND('Part-I'!P19/0.00098,0)</f>
        <v>7636</v>
      </c>
      <c r="O17" s="190">
        <f t="shared" si="1"/>
        <v>577</v>
      </c>
      <c r="P17" s="190">
        <f t="shared" si="2"/>
        <v>0.21839515518546557</v>
      </c>
      <c r="Q17" s="190">
        <f t="shared" si="3"/>
        <v>577</v>
      </c>
      <c r="R17" s="190"/>
      <c r="S17" s="190">
        <f t="shared" si="4"/>
        <v>577</v>
      </c>
      <c r="T17" s="190">
        <v>577</v>
      </c>
      <c r="U17" s="190">
        <f t="shared" si="5"/>
        <v>547</v>
      </c>
      <c r="V17" s="190">
        <f t="shared" si="6"/>
        <v>567</v>
      </c>
      <c r="W17" s="190">
        <v>577</v>
      </c>
    </row>
    <row r="18" spans="1:23" s="34" customFormat="1" ht="18">
      <c r="A18" s="309">
        <v>8</v>
      </c>
      <c r="B18" s="310" t="s">
        <v>30</v>
      </c>
      <c r="C18" s="33">
        <f t="shared" si="0"/>
        <v>5083</v>
      </c>
      <c r="D18" s="169">
        <v>364</v>
      </c>
      <c r="E18" s="33">
        <v>472</v>
      </c>
      <c r="F18" s="33">
        <v>1</v>
      </c>
      <c r="G18" s="33">
        <v>439</v>
      </c>
      <c r="H18" s="33">
        <v>34</v>
      </c>
      <c r="I18" s="33">
        <v>0</v>
      </c>
      <c r="J18" s="33">
        <v>0</v>
      </c>
      <c r="K18" s="33">
        <v>0</v>
      </c>
      <c r="L18" s="33">
        <v>0</v>
      </c>
      <c r="M18" s="190"/>
      <c r="N18" s="34">
        <f>ROUND('Part-I'!P20/0.00098,0)</f>
        <v>5447</v>
      </c>
      <c r="O18" s="190">
        <f t="shared" si="1"/>
        <v>473</v>
      </c>
      <c r="P18" s="190">
        <f t="shared" si="2"/>
        <v>0.17903103709311127</v>
      </c>
      <c r="Q18" s="190">
        <f t="shared" si="3"/>
        <v>473</v>
      </c>
      <c r="R18" s="190"/>
      <c r="S18" s="190">
        <f t="shared" si="4"/>
        <v>473</v>
      </c>
      <c r="T18" s="190">
        <v>473</v>
      </c>
      <c r="U18" s="190">
        <f t="shared" si="5"/>
        <v>439</v>
      </c>
      <c r="V18" s="190">
        <f t="shared" si="6"/>
        <v>472</v>
      </c>
      <c r="W18" s="190">
        <v>473</v>
      </c>
    </row>
    <row r="19" spans="1:23" s="34" customFormat="1" ht="18">
      <c r="A19" s="309">
        <v>9</v>
      </c>
      <c r="B19" s="310" t="s">
        <v>31</v>
      </c>
      <c r="C19" s="33">
        <f t="shared" si="0"/>
        <v>2461</v>
      </c>
      <c r="D19" s="169">
        <v>910</v>
      </c>
      <c r="E19" s="33">
        <v>318</v>
      </c>
      <c r="F19" s="33">
        <v>1</v>
      </c>
      <c r="G19" s="33">
        <v>241</v>
      </c>
      <c r="H19" s="33">
        <v>78</v>
      </c>
      <c r="I19" s="33">
        <v>0</v>
      </c>
      <c r="J19" s="33">
        <v>0</v>
      </c>
      <c r="K19" s="33">
        <v>1</v>
      </c>
      <c r="L19" s="33">
        <v>1</v>
      </c>
      <c r="M19" s="190"/>
      <c r="N19" s="34">
        <f>ROUND('Part-I'!P21/0.00098,0)</f>
        <v>3371</v>
      </c>
      <c r="O19" s="190">
        <f t="shared" si="1"/>
        <v>319</v>
      </c>
      <c r="P19" s="190">
        <f t="shared" si="2"/>
        <v>0.12074186222558668</v>
      </c>
      <c r="Q19" s="190">
        <f t="shared" si="3"/>
        <v>319</v>
      </c>
      <c r="R19" s="190"/>
      <c r="S19" s="190">
        <f t="shared" si="4"/>
        <v>319</v>
      </c>
      <c r="T19" s="190">
        <v>319</v>
      </c>
      <c r="U19" s="190">
        <f t="shared" si="5"/>
        <v>241</v>
      </c>
      <c r="V19" s="190">
        <f t="shared" si="6"/>
        <v>318</v>
      </c>
      <c r="W19" s="190">
        <v>319</v>
      </c>
    </row>
    <row r="20" spans="1:23" s="34" customFormat="1" ht="18">
      <c r="A20" s="309">
        <v>10</v>
      </c>
      <c r="B20" s="310" t="s">
        <v>32</v>
      </c>
      <c r="C20" s="33">
        <f t="shared" si="0"/>
        <v>6955</v>
      </c>
      <c r="D20" s="169">
        <v>2062</v>
      </c>
      <c r="E20" s="33">
        <v>1344</v>
      </c>
      <c r="F20" s="33">
        <v>1</v>
      </c>
      <c r="G20" s="33">
        <v>1303</v>
      </c>
      <c r="H20" s="33">
        <v>42</v>
      </c>
      <c r="I20" s="33">
        <v>0</v>
      </c>
      <c r="J20" s="33">
        <v>0</v>
      </c>
      <c r="K20" s="33">
        <v>0</v>
      </c>
      <c r="L20" s="33">
        <v>0</v>
      </c>
      <c r="M20" s="190"/>
      <c r="N20" s="34">
        <f>ROUND('Part-I'!P22/0.00098,0)</f>
        <v>9017</v>
      </c>
      <c r="O20" s="190">
        <f t="shared" si="1"/>
        <v>1345</v>
      </c>
      <c r="P20" s="190">
        <f t="shared" si="2"/>
        <v>0.5090840272520818</v>
      </c>
      <c r="Q20" s="190">
        <f t="shared" si="3"/>
        <v>1345</v>
      </c>
      <c r="R20" s="190"/>
      <c r="S20" s="190">
        <f t="shared" si="4"/>
        <v>1345</v>
      </c>
      <c r="T20" s="190">
        <v>1345</v>
      </c>
      <c r="U20" s="190">
        <f t="shared" si="5"/>
        <v>1303</v>
      </c>
      <c r="V20" s="190">
        <f t="shared" si="6"/>
        <v>1344</v>
      </c>
      <c r="W20" s="190">
        <v>1345</v>
      </c>
    </row>
    <row r="21" spans="1:23" s="34" customFormat="1" ht="18">
      <c r="A21" s="309">
        <v>11</v>
      </c>
      <c r="B21" s="310" t="s">
        <v>33</v>
      </c>
      <c r="C21" s="33">
        <f t="shared" si="0"/>
        <v>1807</v>
      </c>
      <c r="D21" s="169">
        <v>704</v>
      </c>
      <c r="E21" s="33">
        <v>182</v>
      </c>
      <c r="F21" s="33">
        <v>1</v>
      </c>
      <c r="G21" s="33">
        <v>152</v>
      </c>
      <c r="H21" s="127">
        <v>31</v>
      </c>
      <c r="I21" s="33">
        <v>0</v>
      </c>
      <c r="J21" s="33">
        <v>0</v>
      </c>
      <c r="K21" s="33">
        <v>1</v>
      </c>
      <c r="L21" s="33">
        <v>1</v>
      </c>
      <c r="M21" s="190"/>
      <c r="N21" s="34">
        <f>ROUND('Part-I'!P23/0.00098,0)</f>
        <v>2511</v>
      </c>
      <c r="O21" s="190">
        <f t="shared" si="1"/>
        <v>183</v>
      </c>
      <c r="P21" s="190">
        <f t="shared" si="2"/>
        <v>0.06926570779712339</v>
      </c>
      <c r="Q21" s="190">
        <f t="shared" si="3"/>
        <v>183</v>
      </c>
      <c r="R21" s="190"/>
      <c r="S21" s="190">
        <f t="shared" si="4"/>
        <v>183</v>
      </c>
      <c r="T21" s="190">
        <v>183</v>
      </c>
      <c r="U21" s="190">
        <f t="shared" si="5"/>
        <v>152</v>
      </c>
      <c r="V21" s="190">
        <f t="shared" si="6"/>
        <v>182</v>
      </c>
      <c r="W21" s="190">
        <v>183</v>
      </c>
    </row>
    <row r="22" spans="1:23" s="34" customFormat="1" ht="18">
      <c r="A22" s="309">
        <v>12</v>
      </c>
      <c r="B22" s="310" t="s">
        <v>34</v>
      </c>
      <c r="C22" s="33">
        <f t="shared" si="0"/>
        <v>3145</v>
      </c>
      <c r="D22" s="169">
        <v>877</v>
      </c>
      <c r="E22" s="33">
        <v>348</v>
      </c>
      <c r="F22" s="33">
        <v>2</v>
      </c>
      <c r="G22" s="33">
        <v>296</v>
      </c>
      <c r="H22" s="33">
        <v>54</v>
      </c>
      <c r="I22" s="33">
        <v>0</v>
      </c>
      <c r="J22" s="33">
        <v>0</v>
      </c>
      <c r="K22" s="33">
        <v>0</v>
      </c>
      <c r="L22" s="33">
        <v>0</v>
      </c>
      <c r="M22" s="190"/>
      <c r="N22" s="34">
        <f>ROUND('Part-I'!P24/0.00098,0)</f>
        <v>4022</v>
      </c>
      <c r="O22" s="190">
        <f t="shared" si="1"/>
        <v>350</v>
      </c>
      <c r="P22" s="190">
        <f t="shared" si="2"/>
        <v>0.13247539742619227</v>
      </c>
      <c r="Q22" s="190">
        <f t="shared" si="3"/>
        <v>350</v>
      </c>
      <c r="R22" s="190"/>
      <c r="S22" s="190">
        <f t="shared" si="4"/>
        <v>350</v>
      </c>
      <c r="T22" s="190">
        <v>350</v>
      </c>
      <c r="U22" s="190">
        <f t="shared" si="5"/>
        <v>296</v>
      </c>
      <c r="V22" s="190">
        <f t="shared" si="6"/>
        <v>348</v>
      </c>
      <c r="W22" s="190">
        <v>350</v>
      </c>
    </row>
    <row r="23" spans="1:23" s="34" customFormat="1" ht="18">
      <c r="A23" s="309">
        <v>13</v>
      </c>
      <c r="B23" s="310" t="s">
        <v>35</v>
      </c>
      <c r="C23" s="33">
        <f t="shared" si="0"/>
        <v>5173</v>
      </c>
      <c r="D23" s="169">
        <v>452</v>
      </c>
      <c r="E23" s="33">
        <v>750</v>
      </c>
      <c r="F23" s="33">
        <v>3</v>
      </c>
      <c r="G23" s="33">
        <v>715</v>
      </c>
      <c r="H23" s="33">
        <v>38</v>
      </c>
      <c r="I23" s="33">
        <v>0</v>
      </c>
      <c r="J23" s="33">
        <v>0</v>
      </c>
      <c r="K23" s="33">
        <v>1</v>
      </c>
      <c r="L23" s="33">
        <v>0</v>
      </c>
      <c r="M23" s="190"/>
      <c r="N23" s="34">
        <f>ROUND('Part-I'!P25/0.00098,0)</f>
        <v>5625</v>
      </c>
      <c r="O23" s="190">
        <f t="shared" si="1"/>
        <v>753</v>
      </c>
      <c r="P23" s="190">
        <f t="shared" si="2"/>
        <v>0.2850113550340651</v>
      </c>
      <c r="Q23" s="190">
        <f t="shared" si="3"/>
        <v>753</v>
      </c>
      <c r="R23" s="190"/>
      <c r="S23" s="190">
        <f t="shared" si="4"/>
        <v>753</v>
      </c>
      <c r="T23" s="190">
        <v>753</v>
      </c>
      <c r="U23" s="190">
        <f t="shared" si="5"/>
        <v>715</v>
      </c>
      <c r="V23" s="190">
        <f t="shared" si="6"/>
        <v>750</v>
      </c>
      <c r="W23" s="190">
        <v>753</v>
      </c>
    </row>
    <row r="24" spans="1:20" ht="18">
      <c r="A24" s="313"/>
      <c r="B24" s="314" t="s">
        <v>5</v>
      </c>
      <c r="C24" s="31">
        <f>SUM(C11:C23)</f>
        <v>73801</v>
      </c>
      <c r="D24" s="31">
        <f aca="true" t="shared" si="7" ref="D24:L24">SUM(D11:D23)</f>
        <v>8712</v>
      </c>
      <c r="E24" s="31">
        <f t="shared" si="7"/>
        <v>7280</v>
      </c>
      <c r="F24" s="31">
        <f t="shared" si="7"/>
        <v>41</v>
      </c>
      <c r="G24" s="31">
        <f t="shared" si="7"/>
        <v>6783</v>
      </c>
      <c r="H24" s="31">
        <f t="shared" si="7"/>
        <v>538</v>
      </c>
      <c r="I24" s="31">
        <f t="shared" si="7"/>
        <v>0</v>
      </c>
      <c r="J24" s="31">
        <f t="shared" si="7"/>
        <v>0</v>
      </c>
      <c r="K24" s="31">
        <f t="shared" si="7"/>
        <v>8</v>
      </c>
      <c r="L24" s="31">
        <f t="shared" si="7"/>
        <v>5</v>
      </c>
      <c r="O24" s="170">
        <v>2642</v>
      </c>
      <c r="S24" s="170">
        <f>SUM(S11:S23)</f>
        <v>7321</v>
      </c>
      <c r="T24" s="170"/>
    </row>
    <row r="25" spans="4:20" ht="18.75">
      <c r="D25" s="261"/>
      <c r="E25" s="277"/>
      <c r="F25" s="128"/>
      <c r="G25" s="129"/>
      <c r="H25" s="315"/>
      <c r="I25" s="130"/>
      <c r="L25" s="170"/>
      <c r="O25" s="28">
        <v>2642</v>
      </c>
      <c r="T25" s="190"/>
    </row>
    <row r="26" spans="4:9" ht="11.25" customHeight="1">
      <c r="D26" s="170"/>
      <c r="E26" s="170"/>
      <c r="G26" s="131"/>
      <c r="H26" s="126"/>
      <c r="I26" s="130"/>
    </row>
    <row r="27" spans="6:10" ht="18">
      <c r="F27" s="126"/>
      <c r="G27" s="316"/>
      <c r="H27" s="126"/>
      <c r="I27" s="131"/>
      <c r="J27" s="165" t="s">
        <v>134</v>
      </c>
    </row>
    <row r="28" spans="4:10" ht="18">
      <c r="D28" s="32"/>
      <c r="J28" s="166" t="s">
        <v>135</v>
      </c>
    </row>
    <row r="29" ht="18">
      <c r="J29" s="166" t="s">
        <v>115</v>
      </c>
    </row>
    <row r="30" ht="18">
      <c r="J30" s="167" t="s">
        <v>136</v>
      </c>
    </row>
    <row r="31" ht="18">
      <c r="J31" s="166" t="s">
        <v>117</v>
      </c>
    </row>
  </sheetData>
  <sheetProtection/>
  <mergeCells count="11">
    <mergeCell ref="K8:L8"/>
    <mergeCell ref="A8:A9"/>
    <mergeCell ref="B8:B9"/>
    <mergeCell ref="C8:D8"/>
    <mergeCell ref="E8:F8"/>
    <mergeCell ref="G8:H8"/>
    <mergeCell ref="I8:J8"/>
    <mergeCell ref="K1:L1"/>
    <mergeCell ref="A2:L2"/>
    <mergeCell ref="A4:L4"/>
    <mergeCell ref="A6:L6"/>
  </mergeCells>
  <conditionalFormatting sqref="J30">
    <cfRule type="cellIs" priority="1" dxfId="0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J11" sqref="J11"/>
    </sheetView>
  </sheetViews>
  <sheetFormatPr defaultColWidth="9.140625" defaultRowHeight="15"/>
  <cols>
    <col min="1" max="1" width="6.421875" style="68" customWidth="1"/>
    <col min="2" max="2" width="16.7109375" style="68" customWidth="1"/>
    <col min="3" max="4" width="10.00390625" style="68" customWidth="1"/>
    <col min="5" max="5" width="6.00390625" style="68" bestFit="1" customWidth="1"/>
    <col min="6" max="6" width="10.28125" style="68" bestFit="1" customWidth="1"/>
    <col min="7" max="7" width="6.00390625" style="68" bestFit="1" customWidth="1"/>
    <col min="8" max="8" width="10.28125" style="68" bestFit="1" customWidth="1"/>
    <col min="9" max="9" width="6.00390625" style="68" bestFit="1" customWidth="1"/>
    <col min="10" max="10" width="10.28125" style="68" bestFit="1" customWidth="1"/>
    <col min="11" max="11" width="6.8515625" style="68" bestFit="1" customWidth="1"/>
    <col min="12" max="12" width="9.421875" style="68" customWidth="1"/>
    <col min="13" max="13" width="6.8515625" style="68" bestFit="1" customWidth="1"/>
    <col min="14" max="14" width="10.28125" style="68" bestFit="1" customWidth="1"/>
    <col min="15" max="15" width="6.8515625" style="68" bestFit="1" customWidth="1"/>
    <col min="16" max="16" width="10.28125" style="68" bestFit="1" customWidth="1"/>
    <col min="17" max="17" width="6.8515625" style="68" bestFit="1" customWidth="1"/>
    <col min="18" max="18" width="8.57421875" style="68" customWidth="1"/>
    <col min="19" max="19" width="6.8515625" style="68" bestFit="1" customWidth="1"/>
    <col min="20" max="20" width="10.28125" style="68" bestFit="1" customWidth="1"/>
    <col min="21" max="22" width="6.8515625" style="68" bestFit="1" customWidth="1"/>
    <col min="23" max="16384" width="9.140625" style="68" customWidth="1"/>
  </cols>
  <sheetData>
    <row r="1" ht="18.75" customHeight="1">
      <c r="V1" s="69" t="s">
        <v>96</v>
      </c>
    </row>
    <row r="2" spans="1:22" ht="18.75" customHeight="1">
      <c r="A2" s="413" t="s">
        <v>138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</row>
    <row r="3" spans="1:22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5" customHeight="1">
      <c r="A4" s="414" t="s">
        <v>145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1:22" ht="18" customHeight="1">
      <c r="A5" s="71" t="s">
        <v>38</v>
      </c>
      <c r="B5" s="8"/>
      <c r="C5" s="72"/>
      <c r="D5" s="72"/>
      <c r="E5" s="72"/>
      <c r="F5" s="72"/>
      <c r="G5" s="72"/>
      <c r="H5" s="72"/>
      <c r="I5" s="72"/>
      <c r="L5" s="73"/>
      <c r="V5" s="74"/>
    </row>
    <row r="6" spans="2:9" ht="18" customHeight="1">
      <c r="B6" s="75"/>
      <c r="C6" s="72"/>
      <c r="D6" s="72"/>
      <c r="E6" s="72"/>
      <c r="F6" s="72"/>
      <c r="G6" s="72"/>
      <c r="H6" s="72"/>
      <c r="I6" s="72"/>
    </row>
    <row r="7" spans="1:22" s="76" customFormat="1" ht="30.75" customHeight="1">
      <c r="A7" s="407" t="s">
        <v>82</v>
      </c>
      <c r="B7" s="407" t="s">
        <v>111</v>
      </c>
      <c r="C7" s="408" t="s">
        <v>83</v>
      </c>
      <c r="D7" s="408"/>
      <c r="E7" s="407" t="s">
        <v>84</v>
      </c>
      <c r="F7" s="407"/>
      <c r="G7" s="407"/>
      <c r="H7" s="407"/>
      <c r="I7" s="407"/>
      <c r="J7" s="407"/>
      <c r="K7" s="407"/>
      <c r="L7" s="407"/>
      <c r="M7" s="410" t="s">
        <v>98</v>
      </c>
      <c r="N7" s="410"/>
      <c r="O7" s="410"/>
      <c r="P7" s="410"/>
      <c r="Q7" s="410"/>
      <c r="R7" s="410"/>
      <c r="S7" s="410"/>
      <c r="T7" s="410"/>
      <c r="U7" s="410"/>
      <c r="V7" s="410"/>
    </row>
    <row r="8" spans="1:22" s="76" customFormat="1" ht="84.75" customHeight="1">
      <c r="A8" s="407"/>
      <c r="B8" s="407"/>
      <c r="C8" s="408" t="s">
        <v>87</v>
      </c>
      <c r="D8" s="408"/>
      <c r="E8" s="407" t="s">
        <v>88</v>
      </c>
      <c r="F8" s="407"/>
      <c r="G8" s="407" t="s">
        <v>89</v>
      </c>
      <c r="H8" s="407"/>
      <c r="I8" s="407" t="s">
        <v>90</v>
      </c>
      <c r="J8" s="407"/>
      <c r="K8" s="407" t="s">
        <v>91</v>
      </c>
      <c r="L8" s="407"/>
      <c r="M8" s="409" t="s">
        <v>99</v>
      </c>
      <c r="N8" s="409"/>
      <c r="O8" s="409" t="s">
        <v>100</v>
      </c>
      <c r="P8" s="409"/>
      <c r="Q8" s="409" t="s">
        <v>101</v>
      </c>
      <c r="R8" s="409"/>
      <c r="S8" s="409" t="s">
        <v>102</v>
      </c>
      <c r="T8" s="409"/>
      <c r="U8" s="409" t="s">
        <v>103</v>
      </c>
      <c r="V8" s="410"/>
    </row>
    <row r="9" spans="1:22" s="80" customFormat="1" ht="30.75" customHeight="1">
      <c r="A9" s="407"/>
      <c r="B9" s="407"/>
      <c r="C9" s="77" t="s">
        <v>92</v>
      </c>
      <c r="D9" s="77" t="s">
        <v>93</v>
      </c>
      <c r="E9" s="78" t="s">
        <v>92</v>
      </c>
      <c r="F9" s="78" t="s">
        <v>93</v>
      </c>
      <c r="G9" s="78" t="s">
        <v>92</v>
      </c>
      <c r="H9" s="78" t="s">
        <v>93</v>
      </c>
      <c r="I9" s="78" t="s">
        <v>92</v>
      </c>
      <c r="J9" s="78" t="s">
        <v>93</v>
      </c>
      <c r="K9" s="78" t="s">
        <v>92</v>
      </c>
      <c r="L9" s="78" t="s">
        <v>93</v>
      </c>
      <c r="M9" s="79" t="s">
        <v>92</v>
      </c>
      <c r="N9" s="79" t="s">
        <v>93</v>
      </c>
      <c r="O9" s="79" t="s">
        <v>92</v>
      </c>
      <c r="P9" s="79" t="s">
        <v>93</v>
      </c>
      <c r="Q9" s="79" t="s">
        <v>92</v>
      </c>
      <c r="R9" s="79" t="s">
        <v>93</v>
      </c>
      <c r="S9" s="79" t="s">
        <v>92</v>
      </c>
      <c r="T9" s="79" t="s">
        <v>93</v>
      </c>
      <c r="U9" s="79" t="s">
        <v>92</v>
      </c>
      <c r="V9" s="79" t="s">
        <v>92</v>
      </c>
    </row>
    <row r="10" spans="1:22" s="84" customFormat="1" ht="19.5" customHeight="1">
      <c r="A10" s="81">
        <v>1</v>
      </c>
      <c r="B10" s="81">
        <v>2</v>
      </c>
      <c r="C10" s="82">
        <v>3</v>
      </c>
      <c r="D10" s="82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3">
        <v>13</v>
      </c>
      <c r="N10" s="83">
        <v>14</v>
      </c>
      <c r="O10" s="83">
        <v>15</v>
      </c>
      <c r="P10" s="83">
        <v>16</v>
      </c>
      <c r="Q10" s="83">
        <v>17</v>
      </c>
      <c r="R10" s="83">
        <v>18</v>
      </c>
      <c r="S10" s="83">
        <v>19</v>
      </c>
      <c r="T10" s="83">
        <v>20</v>
      </c>
      <c r="U10" s="83">
        <v>21</v>
      </c>
      <c r="V10" s="83">
        <v>22</v>
      </c>
    </row>
    <row r="11" spans="1:22" s="91" customFormat="1" ht="73.5" customHeight="1">
      <c r="A11" s="85"/>
      <c r="B11" s="86" t="s">
        <v>117</v>
      </c>
      <c r="C11" s="87">
        <v>146</v>
      </c>
      <c r="D11" s="87">
        <v>141</v>
      </c>
      <c r="E11" s="88">
        <v>13</v>
      </c>
      <c r="F11" s="89">
        <v>13</v>
      </c>
      <c r="G11" s="89">
        <v>59</v>
      </c>
      <c r="H11" s="89">
        <v>59</v>
      </c>
      <c r="I11" s="89">
        <v>13</v>
      </c>
      <c r="J11" s="89">
        <v>13</v>
      </c>
      <c r="K11" s="89">
        <v>13</v>
      </c>
      <c r="L11" s="89">
        <v>13</v>
      </c>
      <c r="M11" s="90">
        <v>5</v>
      </c>
      <c r="N11" s="90">
        <v>5</v>
      </c>
      <c r="O11" s="90">
        <v>2</v>
      </c>
      <c r="P11" s="90">
        <v>2</v>
      </c>
      <c r="Q11" s="90">
        <v>1</v>
      </c>
      <c r="R11" s="90">
        <v>1</v>
      </c>
      <c r="S11" s="90" t="s">
        <v>118</v>
      </c>
      <c r="T11" s="90" t="s">
        <v>118</v>
      </c>
      <c r="U11" s="90">
        <v>1</v>
      </c>
      <c r="V11" s="90">
        <v>1</v>
      </c>
    </row>
    <row r="12" spans="9:11" ht="13.5">
      <c r="I12" s="412"/>
      <c r="J12" s="412"/>
      <c r="K12" s="412"/>
    </row>
    <row r="13" spans="9:11" ht="13.5">
      <c r="I13" s="92"/>
      <c r="J13" s="92"/>
      <c r="K13" s="92"/>
    </row>
    <row r="14" spans="9:11" ht="13.5">
      <c r="I14" s="92"/>
      <c r="J14" s="92"/>
      <c r="K14" s="92"/>
    </row>
    <row r="15" spans="9:11" ht="12.75">
      <c r="I15" s="411"/>
      <c r="J15" s="411"/>
      <c r="K15" s="411"/>
    </row>
    <row r="16" spans="9:11" ht="12.75">
      <c r="I16" s="94"/>
      <c r="J16" s="93"/>
      <c r="K16" s="94"/>
    </row>
    <row r="17" spans="9:20" ht="15.75">
      <c r="I17" s="411"/>
      <c r="J17" s="411"/>
      <c r="K17" s="411"/>
      <c r="R17" s="95" t="s">
        <v>134</v>
      </c>
      <c r="S17" s="96"/>
      <c r="T17" s="96"/>
    </row>
    <row r="18" spans="9:20" ht="15.75">
      <c r="I18" s="411"/>
      <c r="J18" s="411"/>
      <c r="K18" s="411"/>
      <c r="R18" s="97" t="s">
        <v>135</v>
      </c>
      <c r="S18" s="98"/>
      <c r="T18" s="98"/>
    </row>
    <row r="19" spans="18:20" ht="15.75">
      <c r="R19" s="97" t="s">
        <v>115</v>
      </c>
      <c r="S19" s="98"/>
      <c r="T19" s="98"/>
    </row>
    <row r="20" spans="18:20" ht="15.75">
      <c r="R20" s="99" t="s">
        <v>136</v>
      </c>
      <c r="S20" s="100"/>
      <c r="T20" s="100"/>
    </row>
    <row r="21" spans="18:20" ht="15.75">
      <c r="R21" s="97" t="s">
        <v>117</v>
      </c>
      <c r="S21" s="98"/>
      <c r="T21" s="98"/>
    </row>
    <row r="22" ht="12.75">
      <c r="R22" s="101"/>
    </row>
  </sheetData>
  <sheetProtection/>
  <mergeCells count="21">
    <mergeCell ref="A2:V2"/>
    <mergeCell ref="A4:V4"/>
    <mergeCell ref="M7:V7"/>
    <mergeCell ref="A7:A9"/>
    <mergeCell ref="B7:B9"/>
    <mergeCell ref="S8:T8"/>
    <mergeCell ref="M8:N8"/>
    <mergeCell ref="G8:H8"/>
    <mergeCell ref="Q8:R8"/>
    <mergeCell ref="E8:F8"/>
    <mergeCell ref="I18:K18"/>
    <mergeCell ref="I17:K17"/>
    <mergeCell ref="I15:K15"/>
    <mergeCell ref="K8:L8"/>
    <mergeCell ref="I12:K12"/>
    <mergeCell ref="E7:L7"/>
    <mergeCell ref="I8:J8"/>
    <mergeCell ref="C8:D8"/>
    <mergeCell ref="U8:V8"/>
    <mergeCell ref="C7:D7"/>
    <mergeCell ref="O8:P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zoomScalePageLayoutView="0" workbookViewId="0" topLeftCell="F1">
      <selection activeCell="O16" sqref="O16"/>
    </sheetView>
  </sheetViews>
  <sheetFormatPr defaultColWidth="9.140625" defaultRowHeight="15"/>
  <cols>
    <col min="1" max="1" width="6.7109375" style="102" customWidth="1"/>
    <col min="2" max="2" width="19.00390625" style="102" customWidth="1"/>
    <col min="3" max="4" width="7.421875" style="103" customWidth="1"/>
    <col min="5" max="26" width="6.7109375" style="103" customWidth="1"/>
    <col min="27" max="16384" width="9.140625" style="102" customWidth="1"/>
  </cols>
  <sheetData>
    <row r="1" spans="11:26" ht="12" customHeight="1">
      <c r="K1" s="417"/>
      <c r="L1" s="417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105"/>
      <c r="Y1" s="102"/>
      <c r="Z1" s="106" t="s">
        <v>97</v>
      </c>
    </row>
    <row r="2" spans="1:26" s="68" customFormat="1" ht="18.75" customHeight="1">
      <c r="A2" s="413" t="s">
        <v>138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</row>
    <row r="3" spans="1:26" s="68" customFormat="1" ht="6.75" customHeight="1">
      <c r="A3" s="70"/>
      <c r="B3" s="70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08"/>
      <c r="Y3" s="108"/>
      <c r="Z3" s="108"/>
    </row>
    <row r="4" spans="1:26" s="68" customFormat="1" ht="21" customHeight="1">
      <c r="A4" s="414" t="s">
        <v>146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ht="18" customHeight="1">
      <c r="A5" s="71" t="s">
        <v>38</v>
      </c>
      <c r="B5" s="109"/>
      <c r="C5" s="110"/>
      <c r="D5" s="110"/>
      <c r="E5" s="110"/>
      <c r="F5" s="110"/>
      <c r="G5" s="110"/>
      <c r="H5" s="110"/>
      <c r="I5" s="110"/>
      <c r="X5" s="415"/>
      <c r="Y5" s="415"/>
      <c r="Z5" s="415"/>
    </row>
    <row r="6" spans="1:26" ht="18" customHeight="1">
      <c r="A6" s="112"/>
      <c r="B6" s="112"/>
      <c r="C6" s="110"/>
      <c r="D6" s="110"/>
      <c r="E6" s="110"/>
      <c r="F6" s="110"/>
      <c r="G6" s="110"/>
      <c r="H6" s="110"/>
      <c r="I6" s="110"/>
      <c r="X6" s="111"/>
      <c r="Y6" s="111"/>
      <c r="Z6" s="111"/>
    </row>
    <row r="7" spans="1:26" s="80" customFormat="1" ht="30.75" customHeight="1">
      <c r="A7" s="429" t="s">
        <v>82</v>
      </c>
      <c r="B7" s="422" t="s">
        <v>111</v>
      </c>
      <c r="C7" s="426" t="s">
        <v>83</v>
      </c>
      <c r="D7" s="427"/>
      <c r="E7" s="425" t="s">
        <v>84</v>
      </c>
      <c r="F7" s="425"/>
      <c r="G7" s="425"/>
      <c r="H7" s="425"/>
      <c r="I7" s="425"/>
      <c r="J7" s="425"/>
      <c r="K7" s="425"/>
      <c r="L7" s="425"/>
      <c r="M7" s="418" t="s">
        <v>98</v>
      </c>
      <c r="N7" s="419"/>
      <c r="O7" s="419"/>
      <c r="P7" s="419"/>
      <c r="Q7" s="419"/>
      <c r="R7" s="419"/>
      <c r="S7" s="419"/>
      <c r="T7" s="419"/>
      <c r="U7" s="419"/>
      <c r="V7" s="419"/>
      <c r="W7" s="420" t="s">
        <v>85</v>
      </c>
      <c r="X7" s="420"/>
      <c r="Y7" s="420" t="s">
        <v>86</v>
      </c>
      <c r="Z7" s="420"/>
    </row>
    <row r="8" spans="1:26" s="80" customFormat="1" ht="39.75" customHeight="1">
      <c r="A8" s="430"/>
      <c r="B8" s="423"/>
      <c r="C8" s="432" t="s">
        <v>87</v>
      </c>
      <c r="D8" s="433"/>
      <c r="E8" s="416" t="s">
        <v>88</v>
      </c>
      <c r="F8" s="416"/>
      <c r="G8" s="416" t="s">
        <v>89</v>
      </c>
      <c r="H8" s="416"/>
      <c r="I8" s="416" t="s">
        <v>90</v>
      </c>
      <c r="J8" s="416"/>
      <c r="K8" s="416" t="s">
        <v>91</v>
      </c>
      <c r="L8" s="416"/>
      <c r="M8" s="421" t="s">
        <v>99</v>
      </c>
      <c r="N8" s="421"/>
      <c r="O8" s="421" t="s">
        <v>100</v>
      </c>
      <c r="P8" s="421"/>
      <c r="Q8" s="421" t="s">
        <v>101</v>
      </c>
      <c r="R8" s="421"/>
      <c r="S8" s="421" t="s">
        <v>102</v>
      </c>
      <c r="T8" s="421"/>
      <c r="U8" s="421" t="s">
        <v>103</v>
      </c>
      <c r="V8" s="428"/>
      <c r="W8" s="420"/>
      <c r="X8" s="420"/>
      <c r="Y8" s="420"/>
      <c r="Z8" s="420"/>
    </row>
    <row r="9" spans="1:26" s="80" customFormat="1" ht="25.5" customHeight="1">
      <c r="A9" s="431"/>
      <c r="B9" s="424"/>
      <c r="C9" s="113" t="s">
        <v>94</v>
      </c>
      <c r="D9" s="113" t="s">
        <v>95</v>
      </c>
      <c r="E9" s="114" t="s">
        <v>94</v>
      </c>
      <c r="F9" s="114" t="s">
        <v>95</v>
      </c>
      <c r="G9" s="114" t="s">
        <v>94</v>
      </c>
      <c r="H9" s="114" t="s">
        <v>95</v>
      </c>
      <c r="I9" s="114" t="s">
        <v>94</v>
      </c>
      <c r="J9" s="114" t="s">
        <v>95</v>
      </c>
      <c r="K9" s="114" t="s">
        <v>94</v>
      </c>
      <c r="L9" s="114" t="s">
        <v>95</v>
      </c>
      <c r="M9" s="79" t="s">
        <v>94</v>
      </c>
      <c r="N9" s="79" t="s">
        <v>95</v>
      </c>
      <c r="O9" s="79" t="s">
        <v>94</v>
      </c>
      <c r="P9" s="79" t="s">
        <v>95</v>
      </c>
      <c r="Q9" s="79" t="s">
        <v>94</v>
      </c>
      <c r="R9" s="79" t="s">
        <v>95</v>
      </c>
      <c r="S9" s="79" t="s">
        <v>94</v>
      </c>
      <c r="T9" s="79" t="s">
        <v>95</v>
      </c>
      <c r="U9" s="79" t="s">
        <v>94</v>
      </c>
      <c r="V9" s="79" t="s">
        <v>95</v>
      </c>
      <c r="W9" s="78" t="s">
        <v>94</v>
      </c>
      <c r="X9" s="78" t="s">
        <v>95</v>
      </c>
      <c r="Y9" s="78" t="s">
        <v>94</v>
      </c>
      <c r="Z9" s="78" t="s">
        <v>95</v>
      </c>
    </row>
    <row r="10" spans="1:26" s="116" customFormat="1" ht="19.5" customHeight="1">
      <c r="A10" s="81">
        <v>1</v>
      </c>
      <c r="B10" s="81">
        <v>2</v>
      </c>
      <c r="C10" s="81">
        <v>3</v>
      </c>
      <c r="D10" s="81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  <c r="Z10" s="115">
        <v>26</v>
      </c>
    </row>
    <row r="11" spans="1:26" s="121" customFormat="1" ht="82.5" customHeight="1">
      <c r="A11" s="117"/>
      <c r="B11" s="117" t="s">
        <v>117</v>
      </c>
      <c r="C11" s="118">
        <v>141</v>
      </c>
      <c r="D11" s="118">
        <v>141</v>
      </c>
      <c r="E11" s="119">
        <v>13</v>
      </c>
      <c r="F11" s="119">
        <v>13</v>
      </c>
      <c r="G11" s="119">
        <v>59</v>
      </c>
      <c r="H11" s="119">
        <v>59</v>
      </c>
      <c r="I11" s="119">
        <v>13</v>
      </c>
      <c r="J11" s="119">
        <v>13</v>
      </c>
      <c r="K11" s="119">
        <v>13</v>
      </c>
      <c r="L11" s="119">
        <v>13</v>
      </c>
      <c r="M11" s="120">
        <v>5</v>
      </c>
      <c r="N11" s="120">
        <v>5</v>
      </c>
      <c r="O11" s="120">
        <v>2</v>
      </c>
      <c r="P11" s="120">
        <v>2</v>
      </c>
      <c r="Q11" s="120">
        <v>1</v>
      </c>
      <c r="R11" s="120">
        <v>1</v>
      </c>
      <c r="S11" s="120" t="s">
        <v>118</v>
      </c>
      <c r="T11" s="120" t="s">
        <v>118</v>
      </c>
      <c r="U11" s="120">
        <v>1</v>
      </c>
      <c r="V11" s="120">
        <v>1</v>
      </c>
      <c r="W11" s="120">
        <v>2406</v>
      </c>
      <c r="X11" s="120">
        <v>2406</v>
      </c>
      <c r="Y11" s="120">
        <v>3085</v>
      </c>
      <c r="Z11" s="120">
        <v>3085</v>
      </c>
    </row>
    <row r="12" spans="12:24" ht="15"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2:24" ht="15"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2:24" ht="15"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2:24" ht="15"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ht="15">
      <c r="X16" s="124"/>
    </row>
    <row r="17" spans="13:22" ht="16.5">
      <c r="M17" s="125"/>
      <c r="N17" s="125"/>
      <c r="O17" s="125"/>
      <c r="P17" s="125"/>
      <c r="Q17" s="125"/>
      <c r="R17" s="125"/>
      <c r="S17" s="125"/>
      <c r="T17" s="125"/>
      <c r="V17" s="95" t="s">
        <v>134</v>
      </c>
    </row>
    <row r="18" ht="16.5">
      <c r="V18" s="97" t="s">
        <v>135</v>
      </c>
    </row>
    <row r="19" ht="16.5">
      <c r="V19" s="97" t="s">
        <v>115</v>
      </c>
    </row>
    <row r="20" ht="16.5">
      <c r="V20" s="99" t="s">
        <v>136</v>
      </c>
    </row>
    <row r="21" ht="16.5">
      <c r="V21" s="97" t="s">
        <v>117</v>
      </c>
    </row>
  </sheetData>
  <sheetProtection/>
  <mergeCells count="21">
    <mergeCell ref="A7:A9"/>
    <mergeCell ref="C8:D8"/>
    <mergeCell ref="M8:N8"/>
    <mergeCell ref="Y7:Z8"/>
    <mergeCell ref="E7:L7"/>
    <mergeCell ref="E8:F8"/>
    <mergeCell ref="C7:D7"/>
    <mergeCell ref="Q8:R8"/>
    <mergeCell ref="I8:J8"/>
    <mergeCell ref="U8:V8"/>
    <mergeCell ref="O8:P8"/>
    <mergeCell ref="X5:Z5"/>
    <mergeCell ref="G8:H8"/>
    <mergeCell ref="K1:L1"/>
    <mergeCell ref="K8:L8"/>
    <mergeCell ref="M7:V7"/>
    <mergeCell ref="A2:Z2"/>
    <mergeCell ref="W7:X8"/>
    <mergeCell ref="S8:T8"/>
    <mergeCell ref="A4:Z4"/>
    <mergeCell ref="B7:B9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2011-05-25T12:33:19Z</cp:lastPrinted>
  <dcterms:created xsi:type="dcterms:W3CDTF">2008-06-03T10:00:46Z</dcterms:created>
  <dcterms:modified xsi:type="dcterms:W3CDTF">2011-05-27T12:00:20Z</dcterms:modified>
  <cp:category/>
  <cp:version/>
  <cp:contentType/>
  <cp:contentStatus/>
</cp:coreProperties>
</file>